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65" windowWidth="28800" windowHeight="13740" tabRatio="583" activeTab="1"/>
  </bookViews>
  <sheets>
    <sheet name="Modelcosting (2)" sheetId="10" r:id="rId1"/>
    <sheet name="უტილიტაცია" sheetId="12" r:id="rId2"/>
    <sheet name="Лист1" sheetId="9" r:id="rId3"/>
  </sheets>
  <definedNames>
    <definedName name="ExternalData_1" localSheetId="2" hidden="1">Лист1!$A$1:$D$3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1" i="12" l="1"/>
  <c r="H23" i="10"/>
  <c r="H10" i="10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6" i="12"/>
  <c r="D15" i="12" l="1"/>
  <c r="D17" i="12"/>
  <c r="D23" i="12"/>
  <c r="D26" i="12"/>
  <c r="D27" i="12"/>
  <c r="E41" i="12"/>
  <c r="J5" i="12"/>
  <c r="H6" i="12"/>
  <c r="C6" i="12" s="1"/>
  <c r="D6" i="12" s="1"/>
  <c r="H7" i="12"/>
  <c r="C7" i="12" s="1"/>
  <c r="D7" i="12" s="1"/>
  <c r="H8" i="12"/>
  <c r="C8" i="12" s="1"/>
  <c r="D8" i="12" s="1"/>
  <c r="H9" i="12"/>
  <c r="C9" i="12" s="1"/>
  <c r="D9" i="12" s="1"/>
  <c r="H10" i="12"/>
  <c r="C10" i="12" s="1"/>
  <c r="D10" i="12" s="1"/>
  <c r="H11" i="12"/>
  <c r="C11" i="12" s="1"/>
  <c r="D11" i="12" s="1"/>
  <c r="H12" i="12"/>
  <c r="C12" i="12" s="1"/>
  <c r="D12" i="12" s="1"/>
  <c r="H13" i="12"/>
  <c r="C13" i="12" s="1"/>
  <c r="D13" i="12" s="1"/>
  <c r="H15" i="12"/>
  <c r="C15" i="12" s="1"/>
  <c r="H16" i="12"/>
  <c r="C16" i="12" s="1"/>
  <c r="D16" i="12" s="1"/>
  <c r="H17" i="12"/>
  <c r="C17" i="12" s="1"/>
  <c r="H18" i="12"/>
  <c r="C18" i="12" s="1"/>
  <c r="D18" i="12" s="1"/>
  <c r="H20" i="12"/>
  <c r="C20" i="12" s="1"/>
  <c r="D20" i="12" s="1"/>
  <c r="H21" i="12"/>
  <c r="C21" i="12" s="1"/>
  <c r="D21" i="12" s="1"/>
  <c r="H22" i="12"/>
  <c r="H23" i="12"/>
  <c r="C23" i="12" s="1"/>
  <c r="H24" i="12"/>
  <c r="C24" i="12" s="1"/>
  <c r="D24" i="12" s="1"/>
  <c r="H25" i="12"/>
  <c r="C25" i="12" s="1"/>
  <c r="D25" i="12" s="1"/>
  <c r="H26" i="12"/>
  <c r="C26" i="12" s="1"/>
  <c r="H27" i="12"/>
  <c r="C27" i="12" s="1"/>
  <c r="F28" i="12"/>
  <c r="B39" i="12"/>
  <c r="C39" i="12" s="1"/>
  <c r="B41" i="12"/>
  <c r="C41" i="12" s="1"/>
  <c r="D14" i="12" l="1"/>
  <c r="K14" i="12" s="1"/>
  <c r="D19" i="12"/>
  <c r="E39" i="12"/>
  <c r="B40" i="12"/>
  <c r="B42" i="12" s="1"/>
  <c r="H28" i="12"/>
  <c r="C19" i="12"/>
  <c r="C14" i="12"/>
  <c r="J14" i="12" s="1"/>
  <c r="C40" i="12"/>
  <c r="E40" i="12" s="1"/>
  <c r="C22" i="12"/>
  <c r="D22" i="12" s="1"/>
  <c r="D28" i="12" s="1"/>
  <c r="K19" i="12" l="1"/>
  <c r="K28" i="12" s="1"/>
  <c r="J19" i="12"/>
  <c r="E42" i="12"/>
  <c r="C28" i="12"/>
  <c r="F42" i="12"/>
  <c r="C42" i="12"/>
  <c r="D42" i="12" s="1"/>
  <c r="J28" i="12" l="1"/>
  <c r="D103" i="10" l="1"/>
  <c r="E103" i="10" s="1"/>
  <c r="F82" i="10"/>
  <c r="E82" i="10"/>
  <c r="F81" i="10"/>
  <c r="E81" i="10"/>
  <c r="F80" i="10"/>
  <c r="E80" i="10"/>
  <c r="F78" i="10"/>
  <c r="E78" i="10"/>
  <c r="F77" i="10"/>
  <c r="F74" i="10" s="1"/>
  <c r="E77" i="10"/>
  <c r="D74" i="10"/>
  <c r="F70" i="10"/>
  <c r="E70" i="10"/>
  <c r="D70" i="10"/>
  <c r="F57" i="10"/>
  <c r="E57" i="10"/>
  <c r="D57" i="10"/>
  <c r="D48" i="10"/>
  <c r="D47" i="10"/>
  <c r="F47" i="10" s="1"/>
  <c r="F46" i="10"/>
  <c r="E46" i="10"/>
  <c r="E35" i="10"/>
  <c r="E24" i="10"/>
  <c r="E25" i="10" s="1"/>
  <c r="E21" i="10"/>
  <c r="E22" i="10" s="1"/>
  <c r="H20" i="10"/>
  <c r="E11" i="10"/>
  <c r="E17" i="10" s="1"/>
  <c r="K5" i="10"/>
  <c r="K4" i="10"/>
  <c r="K3" i="10"/>
  <c r="E3" i="10"/>
  <c r="K2" i="10"/>
  <c r="B1" i="10"/>
  <c r="F36" i="10" s="1"/>
  <c r="E74" i="10" l="1"/>
  <c r="F21" i="10"/>
  <c r="D45" i="10"/>
  <c r="D84" i="10" s="1"/>
  <c r="D83" i="10" s="1"/>
  <c r="E47" i="10"/>
  <c r="F5" i="10"/>
  <c r="F6" i="10"/>
  <c r="F25" i="10"/>
  <c r="D102" i="10"/>
  <c r="D107" i="10" s="1"/>
  <c r="D64" i="10" s="1"/>
  <c r="D63" i="10" s="1"/>
  <c r="F103" i="10"/>
  <c r="F17" i="10"/>
  <c r="G17" i="10" s="1"/>
  <c r="F22" i="10"/>
  <c r="G22" i="10" s="1"/>
  <c r="D14" i="10"/>
  <c r="F19" i="10"/>
  <c r="G19" i="10" s="1"/>
  <c r="G21" i="10"/>
  <c r="F24" i="10"/>
  <c r="F23" i="10" s="1"/>
  <c r="E48" i="10"/>
  <c r="E102" i="10" s="1"/>
  <c r="E107" i="10" s="1"/>
  <c r="E64" i="10" s="1"/>
  <c r="E63" i="10" s="1"/>
  <c r="F3" i="10"/>
  <c r="D12" i="10"/>
  <c r="D13" i="10"/>
  <c r="E14" i="10"/>
  <c r="E15" i="10" s="1"/>
  <c r="E18" i="10"/>
  <c r="F18" i="10" s="1"/>
  <c r="G18" i="10" s="1"/>
  <c r="F35" i="10"/>
  <c r="F48" i="10"/>
  <c r="F45" i="10" s="1"/>
  <c r="D89" i="10"/>
  <c r="D88" i="10" s="1"/>
  <c r="D92" i="10" s="1"/>
  <c r="D95" i="10" s="1"/>
  <c r="F4" i="10"/>
  <c r="D11" i="10"/>
  <c r="E12" i="10"/>
  <c r="E13" i="10"/>
  <c r="E45" i="10" l="1"/>
  <c r="E84" i="10" s="1"/>
  <c r="E83" i="10" s="1"/>
  <c r="F12" i="10"/>
  <c r="G12" i="10" s="1"/>
  <c r="F102" i="10"/>
  <c r="F107" i="10" s="1"/>
  <c r="F64" i="10" s="1"/>
  <c r="F63" i="10" s="1"/>
  <c r="F20" i="10"/>
  <c r="L4" i="10" s="1"/>
  <c r="I23" i="10"/>
  <c r="N5" i="10" s="1"/>
  <c r="L5" i="10"/>
  <c r="F15" i="10"/>
  <c r="G15" i="10" s="1"/>
  <c r="E16" i="10"/>
  <c r="F16" i="10" s="1"/>
  <c r="G16" i="10" s="1"/>
  <c r="F84" i="10"/>
  <c r="F13" i="10"/>
  <c r="F14" i="10"/>
  <c r="G14" i="10" s="1"/>
  <c r="F11" i="10"/>
  <c r="D10" i="10"/>
  <c r="F2" i="10"/>
  <c r="G20" i="10" l="1"/>
  <c r="I20" i="10" s="1"/>
  <c r="N4" i="10" s="1"/>
  <c r="E89" i="10"/>
  <c r="E88" i="10" s="1"/>
  <c r="E92" i="10" s="1"/>
  <c r="E95" i="10" s="1"/>
  <c r="G10" i="10"/>
  <c r="M3" i="10" s="1"/>
  <c r="F10" i="10"/>
  <c r="F85" i="10" s="1"/>
  <c r="F83" i="10" s="1"/>
  <c r="L2" i="10"/>
  <c r="I2" i="10"/>
  <c r="N2" i="10" s="1"/>
  <c r="J10" i="10" l="1"/>
  <c r="O3" i="10" s="1"/>
  <c r="F89" i="10"/>
  <c r="F88" i="10" s="1"/>
  <c r="F92" i="10" s="1"/>
  <c r="F95" i="10" s="1"/>
  <c r="L3" i="10"/>
  <c r="I10" i="10"/>
  <c r="N3" i="10" s="1"/>
  <c r="F33" i="10"/>
</calcChain>
</file>

<file path=xl/comments1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გათვალისწინებული დონორის მიერ დაგეგმილი 800 ლეპტოპი, დაშვებაა გაკეთებული, რომ ყველა სოფლის ექიმს ექნება კომპიუტერი/ლეპტოპი</t>
        </r>
      </text>
    </comment>
    <comment ref="E5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პრინტერი ერთი უნდა იყოს ყველა ამბულატორიაში-გთხოვთ დააკორექტირეთ შესაბამისად. </t>
        </r>
      </text>
    </comment>
    <comment ref="H20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დაშვებაა გაკეთებული, რომ კიოსკებით მოვიცავთ მოშორებულ სოფლებში საერთო ბენეფიციარების 10%ს
</t>
        </r>
      </text>
    </comment>
    <comment ref="H23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დაშვებაა გაკეთებული რომ ექიმების 25% ემსახურება ბენეფიციარების 35%-ს თუმცა დასაზუსტებელია.</t>
        </r>
      </text>
    </comment>
  </commentList>
</comments>
</file>

<file path=xl/connections.xml><?xml version="1.0" encoding="utf-8"?>
<connections xmlns="http://schemas.openxmlformats.org/spreadsheetml/2006/main">
  <connection id="1" keepAlive="1" name="Запрос — Table 0" description="Соединение с запросом &quot;Table 0&quot; в книге." type="5" refreshedVersion="6" background="1" saveData="1">
    <dbPr connection="Provider=Microsoft.Mashup.OleDb.1;Data Source=$Workbook$;Location=Table 0;Extended Properties=&quot;&quot;" command="SELECT * FROM [Table 0]"/>
  </connection>
</connections>
</file>

<file path=xl/sharedStrings.xml><?xml version="1.0" encoding="utf-8"?>
<sst xmlns="http://schemas.openxmlformats.org/spreadsheetml/2006/main" count="170" uniqueCount="141">
  <si>
    <t>სულ ერთდროული ხარჯები</t>
  </si>
  <si>
    <t>მიმდინარე (განმეორებითი) ხარჯები:</t>
  </si>
  <si>
    <t>მთელი ხელფასი და წახალისება</t>
  </si>
  <si>
    <t>იჯარა</t>
  </si>
  <si>
    <t>მარკეტინგული ხარჯები</t>
  </si>
  <si>
    <t>სატრანსპორტო ხარჯები</t>
  </si>
  <si>
    <t>საექსპლუატაციო ხარჯები</t>
  </si>
  <si>
    <t>გადასახადები (სახელმწიფო და ადგილობრივი)</t>
  </si>
  <si>
    <t>გაუთვალისწინებელი (მოულოდნელი) ხარჯები</t>
  </si>
  <si>
    <t>სულ მიმდინარე ხარჯები</t>
  </si>
  <si>
    <t>სულ ხარჯები წარმოების მომზადებაზე და გაშვებაზე</t>
  </si>
  <si>
    <t>საშემოსავლო გადასახადი</t>
  </si>
  <si>
    <t>გაუთვალისწინებელი ხარჯები 5%</t>
  </si>
  <si>
    <t>მოწყობილობა, ინვენტარი, მოძრავი ქონება</t>
  </si>
  <si>
    <t>I</t>
  </si>
  <si>
    <t>II</t>
  </si>
  <si>
    <t>III</t>
  </si>
  <si>
    <t>კორპორატიული ნომრების მომსახურება</t>
  </si>
  <si>
    <t>ინტერნეტის მომსახურება</t>
  </si>
  <si>
    <t>სამეურნეო ხარჯები</t>
  </si>
  <si>
    <t>ქონების გადასახადი</t>
  </si>
  <si>
    <t>მიმდინარე რემონტი</t>
  </si>
  <si>
    <t>საკანცელარიო ხარჯები</t>
  </si>
  <si>
    <t>Column1</t>
  </si>
  <si>
    <t>Column2</t>
  </si>
  <si>
    <t>Column3</t>
  </si>
  <si>
    <t>Column5</t>
  </si>
  <si>
    <t>EUR</t>
  </si>
  <si>
    <t>1 ევრო</t>
  </si>
  <si>
    <t>USD</t>
  </si>
  <si>
    <t>1 აშშ დოლარი</t>
  </si>
  <si>
    <t>კომუნალური ხარჯები (ელ ენერგია, წყალი, დასუფთავება)</t>
  </si>
  <si>
    <t xml:space="preserve">ექოსკოპი ციფრული პორტატული (მრავალფუნქციური) მწარმოებელი: Sonostar მოდელი: U-5c convex ქვეყანა: ჩინეთი პლანშეტი </t>
  </si>
  <si>
    <t xml:space="preserve">ელექტროკარდიოგრაფი მწარმოებელი: Comen მოდელი: CM300, 3 არხიანი ქვეყანა: ჩინეთი                             </t>
  </si>
  <si>
    <t xml:space="preserve">პაციენტის მონიტორი მწარმოებელი: Comen მოდელი: Star 8000A, 5 პარამეტრიანი  ქვეყანა: ჩინეთი </t>
  </si>
  <si>
    <t>AMD Global Telemedicine-ის სპირომეტრი სტეტოსკოპი ოტოსკოპი, დერმასკოპი, ზოგადი ვიზუალიზაციისთავაკი ოფთალმოსკოპი AMD Global Telemedicine-ის ტელემედიცინის პროგრამა(ფასში შედის 4,5 საათი ონლაინ ტრეინინგი)</t>
  </si>
  <si>
    <t>ლაბორატორიის სახარჯი მასალების საწყისი მარაგები</t>
  </si>
  <si>
    <t>მომსახურე თანამშრომლების მომზადება</t>
  </si>
  <si>
    <t>მენეჯმენტის ხარჯი</t>
  </si>
  <si>
    <t>ექიმის ხელფასი</t>
  </si>
  <si>
    <t>ექთნის ხელფასი </t>
  </si>
  <si>
    <t>IT მომსახურება</t>
  </si>
  <si>
    <t>ამბულატორიის იჯარა</t>
  </si>
  <si>
    <t>ბრენდინგი და მარკეტინგული სტრატეგია</t>
  </si>
  <si>
    <t>საწვავი ადგილზე მონიტორინგისთვის</t>
  </si>
  <si>
    <t>სახარჯი მასალები</t>
  </si>
  <si>
    <t>პრინტერი</t>
  </si>
  <si>
    <t>კომპიუტერი</t>
  </si>
  <si>
    <t>მონტაჟის ხარჯი</t>
  </si>
  <si>
    <t>ტრანსპორტირების ხარჯი</t>
  </si>
  <si>
    <t>შემოსავლები</t>
  </si>
  <si>
    <t>კაპიტაცია</t>
  </si>
  <si>
    <t>სადაზღვეო კაპიტაცია</t>
  </si>
  <si>
    <t>თანაგადახდა პაციენტის</t>
  </si>
  <si>
    <t>სამედიცინო ტურიზმი</t>
  </si>
  <si>
    <t>სულ შემოსავალი</t>
  </si>
  <si>
    <t xml:space="preserve">პროგრამული უზრუნველოფა ონლაინ კონსულტირებისთვის </t>
  </si>
  <si>
    <t>კომპიუტერი სოფლის ექიმის</t>
  </si>
  <si>
    <t>რაოდენობა</t>
  </si>
  <si>
    <t>ვარიანტი 1-ბაზისური</t>
  </si>
  <si>
    <t>ვარიანტი 2-ტელედიაგნოსტიკა</t>
  </si>
  <si>
    <t>ერთეულის ფასი დოლარში</t>
  </si>
  <si>
    <t>ჯამი ლარში</t>
  </si>
  <si>
    <t>დოლარი=ლარი</t>
  </si>
  <si>
    <t>ოჯახის ექიმების რაოდენობა</t>
  </si>
  <si>
    <t>კომპიუტერი სპეციალისტის(არ არის გათვალისწინებული ხარჯებში-უზრუნველყონ თავად, როგორც უნივერსალური ხელმისაწვდომობის პროგრამაში მონაწილეობის პირობა)</t>
  </si>
  <si>
    <t>პროგრამული უზრუნვეყოფა (პაციენტის პირადი ინფორმაციის შენახვა, მონაცემების შენახვა, ანალიზი და ა.შ)</t>
  </si>
  <si>
    <t xml:space="preserve">პაციენტის კიოსკი </t>
  </si>
  <si>
    <t>ვარიანტი 3: ექთანი-პაციენტი კიოსკის გზით</t>
  </si>
  <si>
    <t>სხვა ტექნოლოგიური გადაწყვეტა</t>
  </si>
  <si>
    <t>ლაბორატორიული ანალიზატორები</t>
  </si>
  <si>
    <t>გაუთვალისწინებელი (მოულოდნელი) ხარჯებისთვის</t>
  </si>
  <si>
    <t>სხვადასხვა სახის ერთჯერადი გადასახადელები</t>
  </si>
  <si>
    <t>ვიწრო სპეცილისტების ანაზღაურება</t>
  </si>
  <si>
    <t>სოფლის ექიმის პროგრამიდან სახელმწიფო გადახდები</t>
  </si>
  <si>
    <t>პროგრამის განხორციელებიდან მიღებული ეფექტი</t>
  </si>
  <si>
    <t>ერთდროული საინვესტიციო ხარჯები:</t>
  </si>
  <si>
    <t xml:space="preserve">საინვესტიციო ხარჯების შეჯამება: </t>
  </si>
  <si>
    <t>ინსტალაცია და პროგრამული უზრუნველყოფა</t>
  </si>
  <si>
    <t>ვარიანტი 2 გამარტივებული</t>
  </si>
  <si>
    <t>შემცირებული პაკეტი</t>
  </si>
  <si>
    <t>ბენეფიციარების პროგნოზული რაოდენობა</t>
  </si>
  <si>
    <t>საინვესტიციო ხარჯი 1 ბენეფიციარზე</t>
  </si>
  <si>
    <t>პროგნოზული საინვესტიციო ხარჯი 1 ბენეფიციარზე</t>
  </si>
  <si>
    <t>შემცირებული პაკეტიპროგნოზული საინვესტიციო ხარჯი 1 ბენეფიციარზე</t>
  </si>
  <si>
    <t>დაემატება ცალკე მსხდომი ექთნების რაოდენობა</t>
  </si>
  <si>
    <t>???</t>
  </si>
  <si>
    <t>ამბულატორია+ექთნის პუნქტი</t>
  </si>
  <si>
    <t>65+</t>
  </si>
  <si>
    <t>15-65</t>
  </si>
  <si>
    <t>0-6</t>
  </si>
  <si>
    <t>კოეფიციენტი</t>
  </si>
  <si>
    <t>მიზნობრივი</t>
  </si>
  <si>
    <t>ზოგადპოპულაცია</t>
  </si>
  <si>
    <t>0.86 Lari</t>
  </si>
  <si>
    <t>ოჯახის ექიმის პაკეტი</t>
  </si>
  <si>
    <t>2013 wlis 5 Tve</t>
  </si>
  <si>
    <t>დამატებითი სოციალური კოეფიციენტი</t>
  </si>
  <si>
    <t>sayoveltao - korporatiuli</t>
  </si>
  <si>
    <t>სულ</t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</si>
  <si>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უროლოგი</t>
    </r>
  </si>
  <si>
    <t>არსებული პაკეტი</t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</si>
  <si>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ოტორინოლარინგოლოგი</t>
    </r>
  </si>
  <si>
    <r>
      <t>§</t>
    </r>
    <r>
      <rPr>
        <sz val="11"/>
        <color rgb="FFFF0000"/>
        <rFont val="Times New Roman"/>
        <family val="1"/>
      </rPr>
      <t xml:space="preserve">  </t>
    </r>
    <r>
      <rPr>
        <sz val="11"/>
        <color rgb="FFFF0000"/>
        <rFont val="Sylfaen"/>
        <family val="1"/>
      </rPr>
      <t>ქირურგი</t>
    </r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</si>
  <si>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გინეკოლოგი</t>
    </r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</si>
  <si>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ნევროლოგი</t>
    </r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</si>
  <si>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კარდიოლოგი</t>
    </r>
  </si>
  <si>
    <t>ოფთალმოლოგი და ოფთალმოსკოპია (გუგის გაგანიერების გარეშე)</t>
  </si>
  <si>
    <t>ენდოკრინოლოგი</t>
  </si>
  <si>
    <t xml:space="preserve">სულ </t>
  </si>
  <si>
    <t>მუცლის ღრუს/მცირე მენჯის  ექოსკოპია  (ტრანსაბდომინური – სისტემების მიხედვით)+</t>
  </si>
  <si>
    <t xml:space="preserve">რენტგენოსკოპია/რენტგენოგრაფია </t>
  </si>
  <si>
    <t>ფარისებრი ჯირკვლის ფუნქციური სინჯები: TSH</t>
  </si>
  <si>
    <t>ღვიძლის ფუნქციური სინჯები: ALT, AST</t>
  </si>
  <si>
    <t>შარდის ს/ა</t>
  </si>
  <si>
    <t>ეკგ</t>
  </si>
  <si>
    <t>სისხლის ს/ა</t>
  </si>
  <si>
    <t>გლუკოზა პერიფერიულ  სისხლში (100%)</t>
  </si>
  <si>
    <t xml:space="preserve">INR </t>
  </si>
  <si>
    <t xml:space="preserve">კრეატინინი </t>
  </si>
  <si>
    <t xml:space="preserve">ლიპიდური პროფილი </t>
  </si>
  <si>
    <t xml:space="preserve">განავალი ფარულ სისხლდენაზე </t>
  </si>
  <si>
    <t>[მიმდინარე პროგრამის ფარგლებში]</t>
  </si>
  <si>
    <t xml:space="preserve">თვეები: </t>
  </si>
  <si>
    <t>ზოგადი პრაქტიკის ექთნის მომსახურება (100%)</t>
  </si>
  <si>
    <t>პროგნოზი</t>
  </si>
  <si>
    <t>ოჯახის/უბნის ექიმის მომსახურება (100%)</t>
  </si>
  <si>
    <t>მოსარგებლე</t>
  </si>
  <si>
    <t>სამიზნე პოპულაცია 1 გუნდზე</t>
  </si>
  <si>
    <t>პაკეტების ღირებულება თანაგადახდით</t>
  </si>
  <si>
    <t>პაკეტების ღირებულება თანაგადახდის გარეშე</t>
  </si>
  <si>
    <t>წლიური ხარჯი</t>
  </si>
  <si>
    <t>ერთეულის საშუალო ღირებულება</t>
  </si>
  <si>
    <t>თანაგადახდის პროცენტი</t>
  </si>
  <si>
    <t xml:space="preserve">ერთ სულზე ღირებულება თანაგადახდით </t>
  </si>
  <si>
    <t>ერთ სულზე ღირებულება თვეში (თანაგადახდის გარეშე)</t>
  </si>
  <si>
    <t>მომსახურების სახე</t>
  </si>
  <si>
    <t>კატეგორია</t>
  </si>
  <si>
    <t>ვიზიტი</t>
  </si>
  <si>
    <t>ტრენინგი რაიონულ ცენტრებში (12 რეგიონი) სამივლინებო ხარჯი+გზა+სასტუმრო (25+150+20); 2 პერსონა, ანუ 66$</t>
  </si>
  <si>
    <t>ექიმების წახალისება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</si>
</sst>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[Red]0.00"/>
    <numFmt numFmtId="165" formatCode="0;[Red]0"/>
    <numFmt numFmtId="166" formatCode="0.00000%"/>
    <numFmt numFmtId="167" formatCode="#,##0.00\ [$₾-437]"/>
    <numFmt numFmtId="168" formatCode="#,##0\ [$₾-437]"/>
    <numFmt numFmtId="169" formatCode="0.0"/>
    <numFmt numFmtId="170" formatCode="&quot;GEL&quot;#,##0.00"/>
    <numFmt numFmtId="171" formatCode="&quot;$&quot;#,##0.00"/>
    <numFmt numFmtId="172" formatCode="#,##0.00\ [$Lari-437]"/>
    <numFmt numFmtId="173" formatCode="_-* #,##0.00\ _K_č_-;\-* #,##0.00\ _K_č_-;_-* &quot;-&quot;??\ _K_č_-;_-@_-"/>
    <numFmt numFmtId="175" formatCode="_(* #,##0_);_(* \(#,##0\);_(* &quot;-&quot;??_);_(@_)"/>
  </numFmts>
  <fonts count="4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cadNusx"/>
    </font>
    <font>
      <sz val="10"/>
      <color theme="1"/>
      <name val="AcadNusx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rgb="FF222222"/>
      <name val="Sylfae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Sylfaen"/>
      <family val="1"/>
    </font>
    <font>
      <sz val="10"/>
      <color theme="1"/>
      <name val="არიალ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  <charset val="204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sz val="11"/>
      <color rgb="FF000000"/>
      <name val="Arial"/>
      <family val="2"/>
    </font>
    <font>
      <sz val="11"/>
      <name val="Arial"/>
      <family val="2"/>
      <charset val="204"/>
    </font>
    <font>
      <sz val="11"/>
      <color rgb="FF000000"/>
      <name val="Calibri"/>
      <family val="2"/>
    </font>
    <font>
      <sz val="11"/>
      <name val="Sylfaen"/>
      <family val="1"/>
    </font>
    <font>
      <b/>
      <sz val="11"/>
      <name val="Sylfaen"/>
      <family val="1"/>
    </font>
    <font>
      <sz val="11"/>
      <color rgb="FFFF0000"/>
      <name val="Arial"/>
      <family val="2"/>
    </font>
    <font>
      <sz val="11"/>
      <name val="Wingdings"/>
      <charset val="2"/>
    </font>
    <font>
      <sz val="11"/>
      <name val="Times New Roman"/>
      <family val="1"/>
    </font>
    <font>
      <sz val="11"/>
      <color rgb="FFFF0000"/>
      <name val="Wingdings"/>
      <charset val="2"/>
    </font>
    <font>
      <sz val="11"/>
      <color rgb="FFFF0000"/>
      <name val="Times New Roman"/>
      <family val="1"/>
    </font>
    <font>
      <sz val="11"/>
      <color rgb="FFFF0000"/>
      <name val="Sylfaen"/>
      <family val="1"/>
    </font>
    <font>
      <b/>
      <sz val="11"/>
      <color rgb="FFFF0000"/>
      <name val="Sylfaen"/>
      <family val="1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3" fillId="0" borderId="0"/>
    <xf numFmtId="17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3">
    <xf numFmtId="0" fontId="0" fillId="0" borderId="0" xfId="0"/>
    <xf numFmtId="165" fontId="5" fillId="0" borderId="0" xfId="0" applyNumberFormat="1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wrapText="1"/>
    </xf>
    <xf numFmtId="164" fontId="7" fillId="2" borderId="4" xfId="0" applyNumberFormat="1" applyFont="1" applyFill="1" applyBorder="1" applyAlignment="1">
      <alignment wrapText="1"/>
    </xf>
    <xf numFmtId="164" fontId="7" fillId="0" borderId="4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164" fontId="7" fillId="0" borderId="7" xfId="0" applyNumberFormat="1" applyFont="1" applyBorder="1" applyAlignment="1">
      <alignment wrapText="1"/>
    </xf>
    <xf numFmtId="164" fontId="5" fillId="0" borderId="8" xfId="0" applyNumberFormat="1" applyFont="1" applyBorder="1" applyAlignment="1">
      <alignment wrapText="1"/>
    </xf>
    <xf numFmtId="164" fontId="6" fillId="2" borderId="4" xfId="0" applyNumberFormat="1" applyFont="1" applyFill="1" applyBorder="1" applyAlignment="1">
      <alignment wrapText="1"/>
    </xf>
    <xf numFmtId="164" fontId="7" fillId="0" borderId="0" xfId="0" applyNumberFormat="1" applyFont="1" applyAlignment="1">
      <alignment wrapText="1"/>
    </xf>
    <xf numFmtId="0" fontId="5" fillId="0" borderId="1" xfId="0" applyFont="1" applyBorder="1"/>
    <xf numFmtId="164" fontId="9" fillId="0" borderId="4" xfId="0" applyNumberFormat="1" applyFont="1" applyBorder="1" applyAlignment="1">
      <alignment wrapText="1"/>
    </xf>
    <xf numFmtId="165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wrapText="1"/>
    </xf>
    <xf numFmtId="164" fontId="7" fillId="3" borderId="1" xfId="0" applyNumberFormat="1" applyFont="1" applyFill="1" applyBorder="1" applyAlignment="1">
      <alignment wrapText="1"/>
    </xf>
    <xf numFmtId="164" fontId="11" fillId="0" borderId="0" xfId="0" applyNumberFormat="1" applyFont="1" applyAlignment="1">
      <alignment wrapText="1"/>
    </xf>
    <xf numFmtId="0" fontId="3" fillId="0" borderId="1" xfId="0" applyFont="1" applyBorder="1"/>
    <xf numFmtId="164" fontId="7" fillId="3" borderId="4" xfId="0" applyNumberFormat="1" applyFont="1" applyFill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164" fontId="1" fillId="0" borderId="4" xfId="0" applyNumberFormat="1" applyFont="1" applyBorder="1" applyAlignment="1">
      <alignment wrapText="1"/>
    </xf>
    <xf numFmtId="164" fontId="12" fillId="0" borderId="1" xfId="0" applyNumberFormat="1" applyFont="1" applyBorder="1" applyAlignment="1">
      <alignment wrapText="1"/>
    </xf>
    <xf numFmtId="164" fontId="12" fillId="0" borderId="4" xfId="0" applyNumberFormat="1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164" fontId="14" fillId="0" borderId="1" xfId="0" applyNumberFormat="1" applyFont="1" applyBorder="1" applyAlignment="1">
      <alignment wrapText="1"/>
    </xf>
    <xf numFmtId="0" fontId="5" fillId="3" borderId="1" xfId="0" applyFont="1" applyFill="1" applyBorder="1"/>
    <xf numFmtId="0" fontId="1" fillId="3" borderId="1" xfId="0" applyFont="1" applyFill="1" applyBorder="1"/>
    <xf numFmtId="164" fontId="6" fillId="0" borderId="1" xfId="0" applyNumberFormat="1" applyFont="1" applyBorder="1" applyAlignment="1">
      <alignment horizontal="center" wrapText="1"/>
    </xf>
    <xf numFmtId="4" fontId="5" fillId="0" borderId="0" xfId="0" applyNumberFormat="1" applyFont="1" applyAlignment="1">
      <alignment horizontal="center" vertical="center" wrapText="1"/>
    </xf>
    <xf numFmtId="4" fontId="7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wrapText="1"/>
    </xf>
    <xf numFmtId="4" fontId="8" fillId="0" borderId="0" xfId="0" applyNumberFormat="1" applyFont="1" applyAlignment="1">
      <alignment wrapText="1"/>
    </xf>
    <xf numFmtId="4" fontId="6" fillId="0" borderId="5" xfId="0" applyNumberFormat="1" applyFont="1" applyBorder="1" applyAlignment="1">
      <alignment wrapText="1"/>
    </xf>
    <xf numFmtId="164" fontId="6" fillId="0" borderId="9" xfId="0" applyNumberFormat="1" applyFont="1" applyBorder="1" applyAlignment="1">
      <alignment horizontal="center" wrapText="1"/>
    </xf>
    <xf numFmtId="164" fontId="7" fillId="0" borderId="9" xfId="0" applyNumberFormat="1" applyFont="1" applyBorder="1" applyAlignment="1">
      <alignment horizontal="center" wrapText="1"/>
    </xf>
    <xf numFmtId="44" fontId="9" fillId="0" borderId="10" xfId="2" applyFont="1" applyBorder="1" applyAlignment="1">
      <alignment horizontal="center" wrapText="1"/>
    </xf>
    <xf numFmtId="44" fontId="9" fillId="2" borderId="1" xfId="2" applyFont="1" applyFill="1" applyBorder="1" applyAlignment="1">
      <alignment wrapText="1"/>
    </xf>
    <xf numFmtId="44" fontId="9" fillId="0" borderId="1" xfId="2" applyFont="1" applyBorder="1" applyAlignment="1">
      <alignment wrapText="1"/>
    </xf>
    <xf numFmtId="44" fontId="9" fillId="0" borderId="8" xfId="2" applyFont="1" applyBorder="1" applyAlignment="1">
      <alignment wrapText="1"/>
    </xf>
    <xf numFmtId="44" fontId="15" fillId="2" borderId="1" xfId="2" applyFont="1" applyFill="1" applyBorder="1" applyAlignment="1">
      <alignment wrapText="1"/>
    </xf>
    <xf numFmtId="164" fontId="1" fillId="0" borderId="0" xfId="0" applyNumberFormat="1" applyFont="1" applyAlignment="1">
      <alignment wrapText="1"/>
    </xf>
    <xf numFmtId="168" fontId="9" fillId="4" borderId="10" xfId="0" applyNumberFormat="1" applyFont="1" applyFill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68" fontId="9" fillId="0" borderId="10" xfId="0" applyNumberFormat="1" applyFont="1" applyBorder="1" applyAlignment="1">
      <alignment horizontal="center" wrapText="1"/>
    </xf>
    <xf numFmtId="168" fontId="9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164" fontId="9" fillId="2" borderId="1" xfId="0" applyNumberFormat="1" applyFont="1" applyFill="1" applyBorder="1" applyAlignment="1">
      <alignment wrapText="1"/>
    </xf>
    <xf numFmtId="164" fontId="9" fillId="0" borderId="8" xfId="0" applyNumberFormat="1" applyFont="1" applyBorder="1" applyAlignment="1">
      <alignment wrapText="1"/>
    </xf>
    <xf numFmtId="164" fontId="15" fillId="2" borderId="1" xfId="0" applyNumberFormat="1" applyFont="1" applyFill="1" applyBorder="1" applyAlignment="1">
      <alignment wrapText="1"/>
    </xf>
    <xf numFmtId="164" fontId="9" fillId="0" borderId="0" xfId="0" applyNumberFormat="1" applyFont="1" applyAlignment="1">
      <alignment wrapText="1"/>
    </xf>
    <xf numFmtId="164" fontId="9" fillId="3" borderId="1" xfId="0" applyNumberFormat="1" applyFont="1" applyFill="1" applyBorder="1" applyAlignment="1">
      <alignment wrapText="1"/>
    </xf>
    <xf numFmtId="164" fontId="16" fillId="0" borderId="1" xfId="0" applyNumberFormat="1" applyFont="1" applyBorder="1" applyAlignment="1">
      <alignment wrapText="1"/>
    </xf>
    <xf numFmtId="4" fontId="15" fillId="0" borderId="6" xfId="0" applyNumberFormat="1" applyFont="1" applyBorder="1" applyAlignment="1">
      <alignment wrapText="1"/>
    </xf>
    <xf numFmtId="165" fontId="9" fillId="0" borderId="1" xfId="0" applyNumberFormat="1" applyFont="1" applyBorder="1" applyAlignment="1">
      <alignment horizontal="center" wrapText="1"/>
    </xf>
    <xf numFmtId="164" fontId="17" fillId="0" borderId="1" xfId="0" applyNumberFormat="1" applyFont="1" applyBorder="1" applyAlignment="1">
      <alignment wrapText="1"/>
    </xf>
    <xf numFmtId="9" fontId="17" fillId="0" borderId="1" xfId="1" applyFont="1" applyBorder="1" applyAlignment="1">
      <alignment wrapText="1"/>
    </xf>
    <xf numFmtId="4" fontId="9" fillId="0" borderId="1" xfId="0" applyNumberFormat="1" applyFont="1" applyBorder="1" applyAlignment="1">
      <alignment horizontal="center" wrapText="1"/>
    </xf>
    <xf numFmtId="4" fontId="18" fillId="0" borderId="1" xfId="0" applyNumberFormat="1" applyFont="1" applyBorder="1" applyAlignment="1">
      <alignment wrapText="1"/>
    </xf>
    <xf numFmtId="10" fontId="9" fillId="0" borderId="1" xfId="1" applyNumberFormat="1" applyFont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horizontal="center" wrapText="1"/>
    </xf>
    <xf numFmtId="9" fontId="9" fillId="0" borderId="1" xfId="1" applyFont="1" applyBorder="1" applyAlignment="1">
      <alignment wrapText="1"/>
    </xf>
    <xf numFmtId="164" fontId="9" fillId="0" borderId="1" xfId="0" applyNumberFormat="1" applyFont="1" applyBorder="1" applyAlignment="1">
      <alignment horizontal="center" wrapText="1"/>
    </xf>
    <xf numFmtId="168" fontId="9" fillId="4" borderId="1" xfId="0" applyNumberFormat="1" applyFont="1" applyFill="1" applyBorder="1" applyAlignment="1">
      <alignment wrapText="1"/>
    </xf>
    <xf numFmtId="164" fontId="19" fillId="0" borderId="4" xfId="0" applyNumberFormat="1" applyFont="1" applyBorder="1" applyAlignment="1">
      <alignment horizontal="center" wrapText="1"/>
    </xf>
    <xf numFmtId="165" fontId="9" fillId="0" borderId="1" xfId="0" applyNumberFormat="1" applyFont="1" applyBorder="1" applyAlignment="1">
      <alignment wrapText="1"/>
    </xf>
    <xf numFmtId="165" fontId="9" fillId="2" borderId="1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166" fontId="9" fillId="0" borderId="0" xfId="0" applyNumberFormat="1" applyFont="1" applyAlignment="1">
      <alignment wrapText="1"/>
    </xf>
    <xf numFmtId="164" fontId="19" fillId="4" borderId="4" xfId="0" applyNumberFormat="1" applyFont="1" applyFill="1" applyBorder="1" applyAlignment="1">
      <alignment horizontal="center" wrapText="1"/>
    </xf>
    <xf numFmtId="44" fontId="9" fillId="4" borderId="1" xfId="2" applyFont="1" applyFill="1" applyBorder="1" applyAlignment="1">
      <alignment wrapText="1"/>
    </xf>
    <xf numFmtId="164" fontId="7" fillId="4" borderId="4" xfId="0" applyNumberFormat="1" applyFont="1" applyFill="1" applyBorder="1" applyAlignment="1">
      <alignment wrapText="1"/>
    </xf>
    <xf numFmtId="164" fontId="5" fillId="5" borderId="0" xfId="0" applyNumberFormat="1" applyFont="1" applyFill="1" applyAlignment="1">
      <alignment wrapText="1"/>
    </xf>
    <xf numFmtId="167" fontId="9" fillId="4" borderId="1" xfId="0" applyNumberFormat="1" applyFont="1" applyFill="1" applyBorder="1" applyAlignment="1">
      <alignment wrapText="1"/>
    </xf>
    <xf numFmtId="167" fontId="20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164" fontId="5" fillId="0" borderId="11" xfId="0" applyNumberFormat="1" applyFont="1" applyBorder="1" applyAlignment="1">
      <alignment wrapText="1"/>
    </xf>
    <xf numFmtId="168" fontId="9" fillId="0" borderId="12" xfId="0" applyNumberFormat="1" applyFont="1" applyBorder="1" applyAlignment="1">
      <alignment horizontal="center" wrapText="1"/>
    </xf>
    <xf numFmtId="164" fontId="5" fillId="5" borderId="1" xfId="0" applyNumberFormat="1" applyFont="1" applyFill="1" applyBorder="1" applyAlignment="1">
      <alignment wrapText="1"/>
    </xf>
    <xf numFmtId="167" fontId="9" fillId="0" borderId="1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center" wrapText="1"/>
    </xf>
    <xf numFmtId="164" fontId="5" fillId="5" borderId="8" xfId="0" applyNumberFormat="1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167" fontId="9" fillId="6" borderId="1" xfId="0" applyNumberFormat="1" applyFont="1" applyFill="1" applyBorder="1" applyAlignment="1">
      <alignment horizontal="center" wrapText="1"/>
    </xf>
    <xf numFmtId="164" fontId="1" fillId="7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165" fontId="9" fillId="0" borderId="3" xfId="0" applyNumberFormat="1" applyFont="1" applyBorder="1" applyAlignment="1">
      <alignment horizontal="center" wrapText="1"/>
    </xf>
    <xf numFmtId="165" fontId="9" fillId="4" borderId="1" xfId="0" applyNumberFormat="1" applyFont="1" applyFill="1" applyBorder="1" applyAlignment="1">
      <alignment wrapText="1"/>
    </xf>
    <xf numFmtId="165" fontId="9" fillId="3" borderId="1" xfId="0" applyNumberFormat="1" applyFont="1" applyFill="1" applyBorder="1" applyAlignment="1">
      <alignment wrapText="1"/>
    </xf>
    <xf numFmtId="165" fontId="16" fillId="0" borderId="1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15" fillId="2" borderId="1" xfId="0" applyNumberFormat="1" applyFont="1" applyFill="1" applyBorder="1" applyAlignment="1">
      <alignment wrapText="1"/>
    </xf>
    <xf numFmtId="165" fontId="15" fillId="0" borderId="6" xfId="0" applyNumberFormat="1" applyFont="1" applyBorder="1" applyAlignment="1">
      <alignment wrapText="1"/>
    </xf>
    <xf numFmtId="165" fontId="17" fillId="0" borderId="1" xfId="0" applyNumberFormat="1" applyFont="1" applyBorder="1" applyAlignment="1">
      <alignment wrapText="1"/>
    </xf>
    <xf numFmtId="165" fontId="17" fillId="0" borderId="1" xfId="1" applyNumberFormat="1" applyFont="1" applyBorder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9" fillId="0" borderId="1" xfId="1" applyNumberFormat="1" applyFont="1" applyBorder="1" applyAlignment="1">
      <alignment wrapText="1"/>
    </xf>
    <xf numFmtId="165" fontId="9" fillId="0" borderId="1" xfId="1" applyNumberFormat="1" applyFont="1" applyBorder="1" applyAlignment="1">
      <alignment horizontal="center" wrapText="1"/>
    </xf>
    <xf numFmtId="165" fontId="9" fillId="8" borderId="1" xfId="0" applyNumberFormat="1" applyFont="1" applyFill="1" applyBorder="1" applyAlignment="1">
      <alignment wrapText="1"/>
    </xf>
    <xf numFmtId="0" fontId="23" fillId="0" borderId="0" xfId="3"/>
    <xf numFmtId="0" fontId="23" fillId="0" borderId="0" xfId="3" applyAlignment="1">
      <alignment wrapText="1"/>
    </xf>
    <xf numFmtId="0" fontId="23" fillId="0" borderId="0" xfId="3" applyAlignment="1">
      <alignment horizontal="center"/>
    </xf>
    <xf numFmtId="0" fontId="16" fillId="0" borderId="0" xfId="3" applyFont="1" applyAlignment="1">
      <alignment horizontal="center"/>
    </xf>
    <xf numFmtId="0" fontId="16" fillId="0" borderId="0" xfId="3" applyFont="1"/>
    <xf numFmtId="0" fontId="24" fillId="0" borderId="0" xfId="3" applyFont="1" applyAlignment="1">
      <alignment wrapText="1"/>
    </xf>
    <xf numFmtId="0" fontId="24" fillId="0" borderId="0" xfId="3" applyFont="1"/>
    <xf numFmtId="0" fontId="24" fillId="0" borderId="0" xfId="3" applyFont="1" applyAlignment="1">
      <alignment horizontal="center"/>
    </xf>
    <xf numFmtId="2" fontId="25" fillId="0" borderId="0" xfId="3" applyNumberFormat="1" applyFont="1"/>
    <xf numFmtId="2" fontId="25" fillId="0" borderId="0" xfId="3" applyNumberFormat="1" applyFont="1" applyAlignment="1">
      <alignment horizontal="center"/>
    </xf>
    <xf numFmtId="1" fontId="25" fillId="0" borderId="0" xfId="3" applyNumberFormat="1" applyFont="1" applyAlignment="1">
      <alignment horizontal="center"/>
    </xf>
    <xf numFmtId="0" fontId="25" fillId="0" borderId="0" xfId="3" applyFont="1" applyBorder="1" applyAlignment="1">
      <alignment horizontal="center"/>
    </xf>
    <xf numFmtId="0" fontId="26" fillId="0" borderId="0" xfId="3" applyFont="1"/>
    <xf numFmtId="2" fontId="24" fillId="0" borderId="0" xfId="3" applyNumberFormat="1" applyFont="1" applyAlignment="1">
      <alignment horizontal="center"/>
    </xf>
    <xf numFmtId="0" fontId="25" fillId="0" borderId="0" xfId="3" applyFont="1" applyAlignment="1">
      <alignment horizontal="center"/>
    </xf>
    <xf numFmtId="0" fontId="27" fillId="0" borderId="0" xfId="3" applyFont="1" applyBorder="1" applyAlignment="1">
      <alignment horizontal="center"/>
    </xf>
    <xf numFmtId="0" fontId="26" fillId="0" borderId="0" xfId="3" applyFont="1" applyAlignment="1">
      <alignment horizontal="center"/>
    </xf>
    <xf numFmtId="0" fontId="28" fillId="0" borderId="0" xfId="3" applyFont="1" applyAlignment="1">
      <alignment horizontal="center"/>
    </xf>
    <xf numFmtId="0" fontId="26" fillId="0" borderId="0" xfId="3" applyFont="1" applyAlignment="1">
      <alignment horizontal="right"/>
    </xf>
    <xf numFmtId="0" fontId="28" fillId="0" borderId="0" xfId="3" applyFont="1" applyAlignment="1">
      <alignment horizontal="right"/>
    </xf>
    <xf numFmtId="169" fontId="24" fillId="0" borderId="0" xfId="3" applyNumberFormat="1" applyFont="1"/>
    <xf numFmtId="2" fontId="24" fillId="0" borderId="0" xfId="3" applyNumberFormat="1" applyFont="1"/>
    <xf numFmtId="0" fontId="24" fillId="0" borderId="0" xfId="3" applyFont="1" applyAlignment="1">
      <alignment horizontal="right"/>
    </xf>
    <xf numFmtId="170" fontId="24" fillId="0" borderId="0" xfId="3" applyNumberFormat="1" applyFont="1" applyAlignment="1">
      <alignment wrapText="1"/>
    </xf>
    <xf numFmtId="169" fontId="24" fillId="0" borderId="0" xfId="3" applyNumberFormat="1" applyFont="1" applyAlignment="1">
      <alignment horizontal="center"/>
    </xf>
    <xf numFmtId="171" fontId="23" fillId="0" borderId="0" xfId="3" applyNumberFormat="1"/>
    <xf numFmtId="172" fontId="24" fillId="0" borderId="0" xfId="3" applyNumberFormat="1" applyFont="1" applyAlignment="1">
      <alignment horizontal="center"/>
    </xf>
    <xf numFmtId="172" fontId="24" fillId="0" borderId="0" xfId="3" applyNumberFormat="1" applyFont="1"/>
    <xf numFmtId="173" fontId="0" fillId="0" borderId="0" xfId="4" applyFont="1"/>
    <xf numFmtId="172" fontId="25" fillId="9" borderId="0" xfId="3" applyNumberFormat="1" applyFont="1" applyFill="1" applyAlignment="1">
      <alignment vertical="center" wrapText="1"/>
    </xf>
    <xf numFmtId="172" fontId="25" fillId="9" borderId="0" xfId="3" applyNumberFormat="1" applyFont="1" applyFill="1" applyAlignment="1">
      <alignment horizontal="center" vertical="center"/>
    </xf>
    <xf numFmtId="0" fontId="24" fillId="10" borderId="0" xfId="3" applyFont="1" applyFill="1"/>
    <xf numFmtId="172" fontId="24" fillId="10" borderId="1" xfId="3" applyNumberFormat="1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center" vertical="center"/>
    </xf>
    <xf numFmtId="9" fontId="25" fillId="11" borderId="1" xfId="5" applyFont="1" applyFill="1" applyBorder="1" applyAlignment="1">
      <alignment horizontal="center" vertical="center"/>
    </xf>
    <xf numFmtId="172" fontId="25" fillId="10" borderId="1" xfId="3" applyNumberFormat="1" applyFont="1" applyFill="1" applyBorder="1" applyAlignment="1">
      <alignment horizontal="center" vertical="center"/>
    </xf>
    <xf numFmtId="0" fontId="30" fillId="10" borderId="1" xfId="3" applyFont="1" applyFill="1" applyBorder="1" applyAlignment="1">
      <alignment horizontal="center" vertical="center" wrapText="1"/>
    </xf>
    <xf numFmtId="0" fontId="31" fillId="10" borderId="1" xfId="3" applyFont="1" applyFill="1" applyBorder="1" applyAlignment="1">
      <alignment horizontal="center" vertical="center" wrapText="1"/>
    </xf>
    <xf numFmtId="0" fontId="25" fillId="0" borderId="0" xfId="3" applyFont="1" applyAlignment="1">
      <alignment vertical="center" wrapText="1"/>
    </xf>
    <xf numFmtId="0" fontId="25" fillId="0" borderId="0" xfId="3" applyFont="1" applyAlignment="1">
      <alignment horizontal="center" vertical="center"/>
    </xf>
    <xf numFmtId="0" fontId="24" fillId="9" borderId="0" xfId="3" applyFont="1" applyFill="1"/>
    <xf numFmtId="172" fontId="24" fillId="0" borderId="1" xfId="3" applyNumberFormat="1" applyFont="1" applyBorder="1" applyAlignment="1">
      <alignment horizontal="center" vertical="center"/>
    </xf>
    <xf numFmtId="172" fontId="32" fillId="0" borderId="1" xfId="3" applyNumberFormat="1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172" fontId="25" fillId="12" borderId="1" xfId="3" applyNumberFormat="1" applyFont="1" applyFill="1" applyBorder="1" applyAlignment="1">
      <alignment horizontal="center" vertical="center"/>
    </xf>
    <xf numFmtId="0" fontId="33" fillId="0" borderId="1" xfId="3" applyFont="1" applyBorder="1" applyAlignment="1">
      <alignment horizontal="left" vertical="center" wrapText="1"/>
    </xf>
    <xf numFmtId="0" fontId="31" fillId="2" borderId="1" xfId="3" applyFont="1" applyFill="1" applyBorder="1" applyAlignment="1">
      <alignment horizontal="center" vertical="center" wrapText="1"/>
    </xf>
    <xf numFmtId="0" fontId="35" fillId="0" borderId="1" xfId="3" applyFont="1" applyBorder="1" applyAlignment="1">
      <alignment horizontal="left" vertical="center" wrapText="1"/>
    </xf>
    <xf numFmtId="172" fontId="25" fillId="0" borderId="0" xfId="3" applyNumberFormat="1" applyFont="1" applyAlignment="1">
      <alignment vertical="center" wrapText="1"/>
    </xf>
    <xf numFmtId="0" fontId="24" fillId="13" borderId="0" xfId="3" applyFont="1" applyFill="1"/>
    <xf numFmtId="0" fontId="30" fillId="0" borderId="1" xfId="3" applyFont="1" applyBorder="1" applyAlignment="1">
      <alignment horizontal="left" vertical="center" wrapText="1"/>
    </xf>
    <xf numFmtId="172" fontId="25" fillId="14" borderId="0" xfId="3" applyNumberFormat="1" applyFont="1" applyFill="1" applyAlignment="1">
      <alignment vertical="center" wrapText="1"/>
    </xf>
    <xf numFmtId="172" fontId="25" fillId="4" borderId="0" xfId="3" applyNumberFormat="1" applyFont="1" applyFill="1" applyAlignment="1">
      <alignment horizontal="center" vertical="center"/>
    </xf>
    <xf numFmtId="0" fontId="24" fillId="4" borderId="0" xfId="3" applyFont="1" applyFill="1"/>
    <xf numFmtId="172" fontId="24" fillId="15" borderId="1" xfId="3" applyNumberFormat="1" applyFont="1" applyFill="1" applyBorder="1" applyAlignment="1">
      <alignment horizontal="center" vertical="center"/>
    </xf>
    <xf numFmtId="0" fontId="24" fillId="15" borderId="1" xfId="3" applyFont="1" applyFill="1" applyBorder="1" applyAlignment="1">
      <alignment horizontal="center" vertical="center"/>
    </xf>
    <xf numFmtId="9" fontId="25" fillId="15" borderId="1" xfId="5" applyFont="1" applyFill="1" applyBorder="1" applyAlignment="1">
      <alignment horizontal="center" vertical="center"/>
    </xf>
    <xf numFmtId="172" fontId="25" fillId="15" borderId="1" xfId="3" applyNumberFormat="1" applyFont="1" applyFill="1" applyBorder="1" applyAlignment="1">
      <alignment horizontal="center" vertical="center"/>
    </xf>
    <xf numFmtId="0" fontId="30" fillId="15" borderId="1" xfId="3" applyFont="1" applyFill="1" applyBorder="1" applyAlignment="1">
      <alignment horizontal="center" vertical="center" wrapText="1"/>
    </xf>
    <xf numFmtId="0" fontId="31" fillId="15" borderId="1" xfId="3" applyFont="1" applyFill="1" applyBorder="1" applyAlignment="1">
      <alignment horizontal="center" vertical="center" wrapText="1"/>
    </xf>
    <xf numFmtId="172" fontId="25" fillId="13" borderId="0" xfId="3" applyNumberFormat="1" applyFont="1" applyFill="1" applyAlignment="1">
      <alignment horizontal="center" vertical="center"/>
    </xf>
    <xf numFmtId="0" fontId="37" fillId="0" borderId="1" xfId="3" applyFont="1" applyFill="1" applyBorder="1" applyAlignment="1">
      <alignment horizontal="left" vertical="center" wrapText="1"/>
    </xf>
    <xf numFmtId="0" fontId="38" fillId="2" borderId="1" xfId="3" applyFont="1" applyFill="1" applyBorder="1" applyAlignment="1">
      <alignment horizontal="center" vertical="center" wrapText="1"/>
    </xf>
    <xf numFmtId="2" fontId="25" fillId="0" borderId="0" xfId="3" applyNumberFormat="1" applyFont="1" applyAlignment="1">
      <alignment vertical="center" wrapText="1"/>
    </xf>
    <xf numFmtId="0" fontId="37" fillId="0" borderId="1" xfId="3" applyFont="1" applyBorder="1" applyAlignment="1">
      <alignment horizontal="left" vertical="center" wrapText="1"/>
    </xf>
    <xf numFmtId="172" fontId="25" fillId="16" borderId="0" xfId="3" applyNumberFormat="1" applyFont="1" applyFill="1" applyAlignment="1">
      <alignment vertical="center" wrapText="1"/>
    </xf>
    <xf numFmtId="172" fontId="25" fillId="16" borderId="0" xfId="3" applyNumberFormat="1" applyFont="1" applyFill="1" applyAlignment="1">
      <alignment horizontal="center" vertical="center"/>
    </xf>
    <xf numFmtId="0" fontId="24" fillId="16" borderId="0" xfId="3" applyFont="1" applyFill="1"/>
    <xf numFmtId="172" fontId="25" fillId="16" borderId="1" xfId="3" applyNumberFormat="1" applyFont="1" applyFill="1" applyBorder="1" applyAlignment="1">
      <alignment horizontal="center" vertical="center"/>
    </xf>
    <xf numFmtId="0" fontId="25" fillId="16" borderId="1" xfId="3" applyFont="1" applyFill="1" applyBorder="1" applyAlignment="1">
      <alignment horizontal="center" vertical="center"/>
    </xf>
    <xf numFmtId="9" fontId="25" fillId="16" borderId="1" xfId="5" applyFont="1" applyFill="1" applyBorder="1" applyAlignment="1">
      <alignment horizontal="center" vertical="center"/>
    </xf>
    <xf numFmtId="0" fontId="30" fillId="2" borderId="1" xfId="3" applyFont="1" applyFill="1" applyBorder="1" applyAlignment="1">
      <alignment horizontal="center" vertical="center" wrapText="1"/>
    </xf>
    <xf numFmtId="0" fontId="23" fillId="0" borderId="0" xfId="3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 wrapText="1"/>
    </xf>
    <xf numFmtId="0" fontId="24" fillId="17" borderId="0" xfId="3" applyFont="1" applyFill="1"/>
    <xf numFmtId="0" fontId="24" fillId="2" borderId="0" xfId="3" applyFont="1" applyFill="1" applyBorder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39" fillId="0" borderId="0" xfId="3" applyFont="1" applyAlignment="1">
      <alignment vertical="center" wrapText="1"/>
    </xf>
    <xf numFmtId="0" fontId="25" fillId="18" borderId="0" xfId="3" applyFont="1" applyFill="1" applyAlignment="1">
      <alignment horizontal="center" vertical="center" wrapText="1"/>
    </xf>
    <xf numFmtId="0" fontId="25" fillId="18" borderId="0" xfId="3" applyFont="1" applyFill="1" applyBorder="1" applyAlignment="1">
      <alignment horizontal="center" vertical="center"/>
    </xf>
    <xf numFmtId="0" fontId="31" fillId="18" borderId="0" xfId="3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wrapText="1"/>
    </xf>
    <xf numFmtId="164" fontId="11" fillId="0" borderId="0" xfId="0" applyNumberFormat="1" applyFont="1" applyFill="1" applyAlignment="1">
      <alignment wrapText="1"/>
    </xf>
    <xf numFmtId="164" fontId="7" fillId="0" borderId="9" xfId="0" applyNumberFormat="1" applyFont="1" applyFill="1" applyBorder="1" applyAlignment="1">
      <alignment horizontal="center" wrapText="1"/>
    </xf>
    <xf numFmtId="44" fontId="9" fillId="0" borderId="10" xfId="2" applyFont="1" applyFill="1" applyBorder="1" applyAlignment="1">
      <alignment horizontal="center" wrapText="1"/>
    </xf>
    <xf numFmtId="165" fontId="9" fillId="0" borderId="1" xfId="0" applyNumberFormat="1" applyFont="1" applyFill="1" applyBorder="1" applyAlignment="1">
      <alignment horizontal="center" wrapText="1"/>
    </xf>
    <xf numFmtId="168" fontId="9" fillId="0" borderId="10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wrapText="1"/>
    </xf>
    <xf numFmtId="164" fontId="1" fillId="0" borderId="0" xfId="0" applyNumberFormat="1" applyFont="1" applyFill="1" applyAlignment="1">
      <alignment wrapText="1"/>
    </xf>
    <xf numFmtId="0" fontId="29" fillId="0" borderId="0" xfId="3" applyFont="1" applyAlignment="1">
      <alignment horizontal="center"/>
    </xf>
    <xf numFmtId="172" fontId="24" fillId="3" borderId="1" xfId="3" applyNumberFormat="1" applyFont="1" applyFill="1" applyBorder="1" applyAlignment="1">
      <alignment horizontal="center" vertical="center"/>
    </xf>
    <xf numFmtId="43" fontId="23" fillId="0" borderId="0" xfId="6" applyFont="1"/>
    <xf numFmtId="175" fontId="23" fillId="0" borderId="0" xfId="6" applyNumberFormat="1" applyFont="1"/>
    <xf numFmtId="43" fontId="23" fillId="0" borderId="0" xfId="3" applyNumberFormat="1"/>
    <xf numFmtId="175" fontId="25" fillId="0" borderId="0" xfId="6" applyNumberFormat="1" applyFont="1"/>
    <xf numFmtId="43" fontId="23" fillId="0" borderId="0" xfId="6" applyNumberFormat="1" applyFont="1"/>
    <xf numFmtId="9" fontId="23" fillId="0" borderId="0" xfId="1" applyFont="1"/>
    <xf numFmtId="9" fontId="23" fillId="3" borderId="0" xfId="1" applyFont="1" applyFill="1"/>
  </cellXfs>
  <cellStyles count="7">
    <cellStyle name="Comma" xfId="6" builtinId="3"/>
    <cellStyle name="Comma 2" xfId="4"/>
    <cellStyle name="Currency" xfId="2" builtinId="4"/>
    <cellStyle name="Normal" xfId="0" builtinId="0"/>
    <cellStyle name="Normal 2" xfId="3"/>
    <cellStyle name="Percent" xfId="1" builtinId="5"/>
    <cellStyle name="Percent 2" xfId="5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Column1" tableColumnId="5"/>
      <queryTableField id="2" name="Column2" tableColumnId="2"/>
      <queryTableField id="3" name="Column3" tableColumnId="3"/>
      <queryTableField id="4" name="Column5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0" displayName="Table_0" ref="A1:D3" tableType="queryTable" totalsRowShown="0">
  <autoFilter ref="A1:D3"/>
  <tableColumns count="4">
    <tableColumn id="5" uniqueName="5" name="Column1" queryTableFieldId="1" dataDxfId="3"/>
    <tableColumn id="2" uniqueName="2" name="Column2" queryTableFieldId="2" dataDxfId="2"/>
    <tableColumn id="3" uniqueName="3" name="Column3" queryTableFieldId="3" dataDxfId="1"/>
    <tableColumn id="4" uniqueName="4" name="Column5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O117"/>
  <sheetViews>
    <sheetView zoomScaleNormal="100" zoomScalePageLayoutView="130" workbookViewId="0">
      <pane xSplit="3" ySplit="1" topLeftCell="D89" activePane="bottomRight" state="frozen"/>
      <selection pane="topRight" activeCell="C1" sqref="C1"/>
      <selection pane="bottomLeft" activeCell="A2" sqref="A2"/>
      <selection pane="bottomRight" activeCell="I103" sqref="I103"/>
    </sheetView>
  </sheetViews>
  <sheetFormatPr defaultColWidth="9.140625" defaultRowHeight="13.5" outlineLevelRow="1"/>
  <cols>
    <col min="1" max="1" width="15.85546875" style="3" customWidth="1"/>
    <col min="2" max="2" width="8.42578125" style="1" bestFit="1" customWidth="1"/>
    <col min="3" max="3" width="46.85546875" style="11" customWidth="1"/>
    <col min="4" max="4" width="12.140625" style="53" customWidth="1"/>
    <col min="5" max="5" width="12.7109375" style="71" bestFit="1" customWidth="1"/>
    <col min="6" max="6" width="12.140625" style="53" bestFit="1" customWidth="1"/>
    <col min="7" max="8" width="17.140625" style="3" customWidth="1"/>
    <col min="9" max="10" width="18.140625" style="3" customWidth="1"/>
    <col min="11" max="11" width="38" style="3" customWidth="1"/>
    <col min="12" max="12" width="22.140625" style="3" customWidth="1"/>
    <col min="13" max="13" width="20.140625" style="3" customWidth="1"/>
    <col min="14" max="14" width="15.42578125" style="3" customWidth="1"/>
    <col min="15" max="15" width="22.28515625" style="3" customWidth="1"/>
    <col min="16" max="16384" width="9.140625" style="3"/>
  </cols>
  <sheetData>
    <row r="1" spans="1:15" ht="57.75" customHeight="1">
      <c r="A1" s="44" t="s">
        <v>63</v>
      </c>
      <c r="B1" s="17">
        <f>Лист1!C2</f>
        <v>3.0407000000000002</v>
      </c>
      <c r="C1" s="2" t="s">
        <v>76</v>
      </c>
      <c r="D1" s="46" t="s">
        <v>61</v>
      </c>
      <c r="E1" s="91" t="s">
        <v>58</v>
      </c>
      <c r="F1" s="46" t="s">
        <v>62</v>
      </c>
      <c r="G1" s="44" t="s">
        <v>79</v>
      </c>
      <c r="H1" s="44" t="s">
        <v>81</v>
      </c>
      <c r="I1" s="81" t="s">
        <v>82</v>
      </c>
      <c r="J1" s="81"/>
      <c r="K1" s="29" t="s">
        <v>77</v>
      </c>
      <c r="L1" s="6"/>
      <c r="M1" s="79" t="s">
        <v>80</v>
      </c>
      <c r="N1" s="79" t="s">
        <v>83</v>
      </c>
      <c r="O1" s="79" t="s">
        <v>84</v>
      </c>
    </row>
    <row r="2" spans="1:15" ht="22.5" customHeight="1">
      <c r="A2" s="44" t="s">
        <v>64</v>
      </c>
      <c r="B2" s="17">
        <v>1300</v>
      </c>
      <c r="C2" s="37" t="s">
        <v>59</v>
      </c>
      <c r="D2" s="39"/>
      <c r="E2" s="57"/>
      <c r="F2" s="45">
        <f>SUM(F3:F9)</f>
        <v>2234914.5</v>
      </c>
      <c r="H2" s="85">
        <v>1539100</v>
      </c>
      <c r="I2" s="88">
        <f>F2/H2</f>
        <v>1.4520918069001365</v>
      </c>
      <c r="J2" s="83"/>
      <c r="K2" s="80" t="str">
        <f>C2</f>
        <v>ვარიანტი 1-ბაზისური</v>
      </c>
      <c r="L2" s="78">
        <f>F2</f>
        <v>2234914.5</v>
      </c>
      <c r="M2" s="6"/>
      <c r="N2" s="78">
        <f>I2</f>
        <v>1.4520918069001365</v>
      </c>
      <c r="O2" s="6"/>
    </row>
    <row r="3" spans="1:15" ht="35.25" customHeight="1">
      <c r="A3" s="89" t="s">
        <v>85</v>
      </c>
      <c r="B3" s="17"/>
      <c r="C3" s="38" t="s">
        <v>57</v>
      </c>
      <c r="D3" s="39">
        <v>1200</v>
      </c>
      <c r="E3" s="57">
        <f>B2-800</f>
        <v>500</v>
      </c>
      <c r="F3" s="47">
        <f>D3*E3*$B$1</f>
        <v>1824420</v>
      </c>
      <c r="G3" s="76"/>
      <c r="H3" s="82"/>
      <c r="I3" s="6"/>
      <c r="J3" s="80"/>
      <c r="K3" s="80" t="str">
        <f>C9</f>
        <v>ვარიანტი 2-ტელედიაგნოსტიკა</v>
      </c>
      <c r="L3" s="78">
        <f>F10</f>
        <v>32472237.063652098</v>
      </c>
      <c r="M3" s="78">
        <f>G10</f>
        <v>29283433.618815999</v>
      </c>
      <c r="N3" s="78">
        <f>I10</f>
        <v>210.98198339063151</v>
      </c>
      <c r="O3" s="78">
        <f>J10</f>
        <v>190.26335922822429</v>
      </c>
    </row>
    <row r="4" spans="1:15" ht="72.95" customHeight="1">
      <c r="B4" s="17"/>
      <c r="C4" s="38" t="s">
        <v>65</v>
      </c>
      <c r="D4" s="39"/>
      <c r="E4" s="57"/>
      <c r="F4" s="47">
        <f t="shared" ref="F4:F6" si="0">D4*E4*$B$1</f>
        <v>0</v>
      </c>
      <c r="G4" s="76"/>
      <c r="H4" s="86"/>
      <c r="I4" s="9"/>
      <c r="J4" s="87"/>
      <c r="K4" s="80" t="str">
        <f>C20</f>
        <v>ვარიანტი 3: ექთანი-პაციენტი კიოსკის გზით</v>
      </c>
      <c r="L4" s="78">
        <f>F20</f>
        <v>10277566</v>
      </c>
      <c r="M4" s="6"/>
      <c r="N4" s="78">
        <f>I20</f>
        <v>66.776466766291989</v>
      </c>
      <c r="O4" s="6"/>
    </row>
    <row r="5" spans="1:15" ht="30" customHeight="1">
      <c r="A5" s="89" t="s">
        <v>87</v>
      </c>
      <c r="B5" s="17" t="s">
        <v>86</v>
      </c>
      <c r="C5" s="38" t="s">
        <v>46</v>
      </c>
      <c r="D5" s="39">
        <v>250</v>
      </c>
      <c r="E5" s="57">
        <v>500</v>
      </c>
      <c r="F5" s="47">
        <f t="shared" si="0"/>
        <v>380087.5</v>
      </c>
      <c r="G5" s="82"/>
      <c r="H5" s="82"/>
      <c r="I5" s="6"/>
      <c r="J5" s="6"/>
      <c r="K5" s="80" t="str">
        <f>C23</f>
        <v>სხვა ტექნოლოგიური გადაწყვეტა</v>
      </c>
      <c r="L5" s="78">
        <f>F23</f>
        <v>10870502.5</v>
      </c>
      <c r="M5" s="6"/>
      <c r="N5" s="78">
        <f>I23</f>
        <v>20.17970149530802</v>
      </c>
      <c r="O5" s="6"/>
    </row>
    <row r="6" spans="1:15" ht="36" customHeight="1">
      <c r="B6" s="17"/>
      <c r="C6" s="38" t="s">
        <v>56</v>
      </c>
      <c r="D6" s="39">
        <v>10000</v>
      </c>
      <c r="E6" s="57">
        <v>1</v>
      </c>
      <c r="F6" s="47">
        <f t="shared" si="0"/>
        <v>30407</v>
      </c>
      <c r="G6" s="82"/>
      <c r="H6" s="82"/>
      <c r="I6" s="6"/>
      <c r="J6" s="6"/>
    </row>
    <row r="7" spans="1:15" s="186" customFormat="1" ht="14.25" customHeight="1">
      <c r="B7" s="187"/>
      <c r="C7" s="188"/>
      <c r="D7" s="189"/>
      <c r="E7" s="190"/>
      <c r="F7" s="191"/>
      <c r="G7" s="192"/>
      <c r="H7" s="192"/>
      <c r="I7" s="192"/>
      <c r="J7" s="192"/>
    </row>
    <row r="8" spans="1:15" s="186" customFormat="1" ht="12.75" customHeight="1">
      <c r="A8" s="193"/>
      <c r="B8" s="187"/>
      <c r="C8" s="188"/>
      <c r="D8" s="189"/>
      <c r="E8" s="190"/>
      <c r="F8" s="191"/>
      <c r="G8" s="192"/>
      <c r="H8" s="192"/>
      <c r="I8" s="192"/>
      <c r="J8" s="192"/>
    </row>
    <row r="9" spans="1:15" ht="16.5" customHeight="1">
      <c r="B9" s="17"/>
      <c r="C9" s="37" t="s">
        <v>60</v>
      </c>
      <c r="D9" s="39"/>
      <c r="E9" s="57"/>
      <c r="F9" s="47"/>
      <c r="G9" s="82"/>
      <c r="H9" s="82"/>
      <c r="I9" s="6"/>
      <c r="J9" s="6"/>
    </row>
    <row r="10" spans="1:15">
      <c r="C10" s="75" t="s">
        <v>13</v>
      </c>
      <c r="D10" s="74">
        <f t="shared" ref="D10" si="1">SUM(D11:D32)</f>
        <v>155070.7531</v>
      </c>
      <c r="E10" s="92"/>
      <c r="F10" s="67">
        <f>F11+F12+F13+F14+F15+F16+F17+F18+F19</f>
        <v>32472237.063652098</v>
      </c>
      <c r="G10" s="77">
        <f>G11+G12+G13+G14+G15+G16+G17+G18+G19</f>
        <v>29283433.618815999</v>
      </c>
      <c r="H10" s="85">
        <f>H2*10%</f>
        <v>153910</v>
      </c>
      <c r="I10" s="88">
        <f>F10/H10</f>
        <v>210.98198339063151</v>
      </c>
      <c r="J10" s="88">
        <f>G10/H10</f>
        <v>190.26335922822429</v>
      </c>
    </row>
    <row r="11" spans="1:15" ht="45" outlineLevel="1">
      <c r="B11" s="1">
        <v>1</v>
      </c>
      <c r="C11" s="25" t="s">
        <v>32</v>
      </c>
      <c r="D11" s="41">
        <f>2000*B1</f>
        <v>6081.4000000000005</v>
      </c>
      <c r="E11" s="103">
        <f>B2*10%</f>
        <v>130</v>
      </c>
      <c r="F11" s="48">
        <f>D11*E11*$B$1</f>
        <v>2403922.6874000006</v>
      </c>
      <c r="G11" s="48"/>
      <c r="H11" s="48"/>
      <c r="I11" s="6"/>
      <c r="J11" s="6"/>
    </row>
    <row r="12" spans="1:15" ht="30" outlineLevel="1">
      <c r="B12" s="1">
        <v>2</v>
      </c>
      <c r="C12" s="25" t="s">
        <v>33</v>
      </c>
      <c r="D12" s="41">
        <f>870*B1</f>
        <v>2645.4090000000001</v>
      </c>
      <c r="E12" s="103">
        <f>E11</f>
        <v>130</v>
      </c>
      <c r="F12" s="48">
        <f t="shared" ref="F12:F19" si="2">D12*E12*$B$1</f>
        <v>1045706.3690190002</v>
      </c>
      <c r="G12" s="48">
        <f t="shared" ref="G12:G22" si="3">F12</f>
        <v>1045706.3690190002</v>
      </c>
      <c r="H12" s="48"/>
      <c r="I12" s="6"/>
      <c r="J12" s="6"/>
    </row>
    <row r="13" spans="1:15" ht="45" outlineLevel="1">
      <c r="B13" s="1">
        <v>4</v>
      </c>
      <c r="C13" s="25" t="s">
        <v>34</v>
      </c>
      <c r="D13" s="41">
        <f>653*B1</f>
        <v>1985.5771000000002</v>
      </c>
      <c r="E13" s="103">
        <f>E11</f>
        <v>130</v>
      </c>
      <c r="F13" s="48">
        <f t="shared" si="2"/>
        <v>784880.75743610004</v>
      </c>
      <c r="G13" s="48"/>
      <c r="H13" s="48"/>
      <c r="I13" s="6"/>
      <c r="J13" s="6"/>
    </row>
    <row r="14" spans="1:15" ht="90" outlineLevel="1">
      <c r="B14" s="1">
        <v>5</v>
      </c>
      <c r="C14" s="25" t="s">
        <v>35</v>
      </c>
      <c r="D14" s="41">
        <f>22810*B1</f>
        <v>69358.366999999998</v>
      </c>
      <c r="E14" s="103">
        <f>E11</f>
        <v>130</v>
      </c>
      <c r="F14" s="48">
        <f t="shared" si="2"/>
        <v>27416738.249796998</v>
      </c>
      <c r="G14" s="48">
        <f t="shared" si="3"/>
        <v>27416738.249796998</v>
      </c>
      <c r="H14" s="48"/>
      <c r="I14" s="6"/>
      <c r="J14" s="6"/>
    </row>
    <row r="15" spans="1:15" ht="15" outlineLevel="1">
      <c r="B15" s="1">
        <v>7</v>
      </c>
      <c r="C15" s="23" t="s">
        <v>46</v>
      </c>
      <c r="D15" s="41">
        <v>250</v>
      </c>
      <c r="E15" s="103">
        <f>E14</f>
        <v>130</v>
      </c>
      <c r="F15" s="48">
        <f t="shared" si="2"/>
        <v>98822.75</v>
      </c>
      <c r="G15" s="48">
        <f t="shared" si="3"/>
        <v>98822.75</v>
      </c>
      <c r="H15" s="48"/>
      <c r="I15" s="6"/>
      <c r="J15" s="6"/>
    </row>
    <row r="16" spans="1:15" ht="15" outlineLevel="1">
      <c r="B16" s="1">
        <v>8</v>
      </c>
      <c r="C16" s="24" t="s">
        <v>47</v>
      </c>
      <c r="D16" s="41">
        <v>1500</v>
      </c>
      <c r="E16" s="103">
        <f>E15</f>
        <v>130</v>
      </c>
      <c r="F16" s="48">
        <f t="shared" si="2"/>
        <v>592936.5</v>
      </c>
      <c r="G16" s="48">
        <f t="shared" si="3"/>
        <v>592936.5</v>
      </c>
      <c r="H16" s="48"/>
      <c r="I16" s="6"/>
      <c r="J16" s="6"/>
    </row>
    <row r="17" spans="2:10" ht="15" outlineLevel="1">
      <c r="B17" s="1">
        <v>9</v>
      </c>
      <c r="C17" s="24" t="s">
        <v>48</v>
      </c>
      <c r="D17" s="41">
        <v>200</v>
      </c>
      <c r="E17" s="103">
        <f>E11</f>
        <v>130</v>
      </c>
      <c r="F17" s="48">
        <f t="shared" si="2"/>
        <v>79058.200000000012</v>
      </c>
      <c r="G17" s="48">
        <f t="shared" si="3"/>
        <v>79058.200000000012</v>
      </c>
      <c r="H17" s="48"/>
      <c r="I17" s="6"/>
      <c r="J17" s="6"/>
    </row>
    <row r="18" spans="2:10" ht="15" outlineLevel="1">
      <c r="B18" s="1">
        <v>10</v>
      </c>
      <c r="C18" s="24" t="s">
        <v>49</v>
      </c>
      <c r="D18" s="41">
        <v>50</v>
      </c>
      <c r="E18" s="103">
        <f>E11</f>
        <v>130</v>
      </c>
      <c r="F18" s="48">
        <f t="shared" si="2"/>
        <v>19764.550000000003</v>
      </c>
      <c r="G18" s="48">
        <f t="shared" si="3"/>
        <v>19764.550000000003</v>
      </c>
      <c r="H18" s="48"/>
      <c r="I18" s="6"/>
      <c r="J18" s="6"/>
    </row>
    <row r="19" spans="2:10" ht="45" outlineLevel="1">
      <c r="B19" s="1">
        <v>11</v>
      </c>
      <c r="C19" s="24" t="s">
        <v>66</v>
      </c>
      <c r="D19" s="41">
        <v>10000</v>
      </c>
      <c r="E19" s="69">
        <v>1</v>
      </c>
      <c r="F19" s="48">
        <f t="shared" si="2"/>
        <v>30407</v>
      </c>
      <c r="G19" s="48">
        <f t="shared" si="3"/>
        <v>30407</v>
      </c>
      <c r="H19" s="48"/>
      <c r="I19" s="6"/>
      <c r="J19" s="6"/>
    </row>
    <row r="20" spans="2:10" ht="15" outlineLevel="1">
      <c r="B20" s="1">
        <v>12</v>
      </c>
      <c r="C20" s="68" t="s">
        <v>68</v>
      </c>
      <c r="D20" s="41"/>
      <c r="E20" s="69"/>
      <c r="F20" s="48">
        <f>F21+F22</f>
        <v>10277566</v>
      </c>
      <c r="G20" s="48">
        <f t="shared" si="3"/>
        <v>10277566</v>
      </c>
      <c r="H20" s="85">
        <f>H2*10%</f>
        <v>153910</v>
      </c>
      <c r="I20" s="88">
        <f>G20/H20</f>
        <v>66.776466766291989</v>
      </c>
      <c r="J20" s="6"/>
    </row>
    <row r="21" spans="2:10" ht="15" outlineLevel="1">
      <c r="B21" s="1">
        <v>13</v>
      </c>
      <c r="C21" s="24" t="s">
        <v>67</v>
      </c>
      <c r="D21" s="41">
        <v>50000</v>
      </c>
      <c r="E21" s="103">
        <f>B2*5%</f>
        <v>65</v>
      </c>
      <c r="F21" s="48">
        <f>D21*E21*$B$1</f>
        <v>9882275</v>
      </c>
      <c r="G21" s="48">
        <f t="shared" si="3"/>
        <v>9882275</v>
      </c>
      <c r="H21" s="48"/>
      <c r="I21" s="6"/>
      <c r="J21" s="6"/>
    </row>
    <row r="22" spans="2:10" ht="15" outlineLevel="1">
      <c r="C22" s="24" t="s">
        <v>78</v>
      </c>
      <c r="D22" s="41">
        <v>2000</v>
      </c>
      <c r="E22" s="103">
        <f>E21</f>
        <v>65</v>
      </c>
      <c r="F22" s="48">
        <f>D22*E22*$B$1</f>
        <v>395291</v>
      </c>
      <c r="G22" s="48">
        <f t="shared" si="3"/>
        <v>395291</v>
      </c>
      <c r="H22" s="48"/>
      <c r="I22" s="6"/>
      <c r="J22" s="6"/>
    </row>
    <row r="23" spans="2:10" ht="15" outlineLevel="1">
      <c r="B23" s="1">
        <v>14</v>
      </c>
      <c r="C23" s="73" t="s">
        <v>69</v>
      </c>
      <c r="D23" s="74"/>
      <c r="E23" s="92"/>
      <c r="F23" s="67">
        <f>F24+F25</f>
        <v>10870502.5</v>
      </c>
      <c r="G23" s="6"/>
      <c r="H23" s="85">
        <f>H2*35%</f>
        <v>538685</v>
      </c>
      <c r="I23" s="88">
        <f>F23/H23</f>
        <v>20.17970149530802</v>
      </c>
      <c r="J23" s="6"/>
    </row>
    <row r="24" spans="2:10" ht="15" outlineLevel="1">
      <c r="B24" s="1">
        <v>15</v>
      </c>
      <c r="C24" s="24" t="s">
        <v>70</v>
      </c>
      <c r="D24" s="41">
        <v>10000</v>
      </c>
      <c r="E24" s="103">
        <f>B2*25%</f>
        <v>325</v>
      </c>
      <c r="F24" s="48">
        <f>D24*E24*$B$1</f>
        <v>9882275</v>
      </c>
      <c r="G24" s="6"/>
      <c r="H24" s="6"/>
      <c r="I24" s="6"/>
      <c r="J24" s="6"/>
    </row>
    <row r="25" spans="2:10" ht="25.5" outlineLevel="1">
      <c r="B25" s="1">
        <v>16</v>
      </c>
      <c r="C25" s="13" t="s">
        <v>36</v>
      </c>
      <c r="D25" s="41">
        <v>1000</v>
      </c>
      <c r="E25" s="103">
        <f>E24</f>
        <v>325</v>
      </c>
      <c r="F25" s="48">
        <f>D25*E25*$B$1</f>
        <v>988227.50000000012</v>
      </c>
      <c r="G25" s="6"/>
      <c r="H25" s="6"/>
      <c r="I25" s="6"/>
      <c r="J25" s="6"/>
    </row>
    <row r="26" spans="2:10" ht="15" outlineLevel="1">
      <c r="B26" s="1">
        <v>17</v>
      </c>
      <c r="C26" s="24"/>
      <c r="D26" s="41"/>
      <c r="E26" s="69"/>
      <c r="F26" s="49"/>
      <c r="G26" s="6"/>
      <c r="H26" s="6"/>
      <c r="I26" s="6"/>
      <c r="J26" s="6"/>
    </row>
    <row r="27" spans="2:10" ht="15" outlineLevel="1">
      <c r="B27" s="1">
        <v>15</v>
      </c>
      <c r="C27" s="24"/>
      <c r="D27" s="41"/>
      <c r="E27" s="69"/>
      <c r="F27" s="49"/>
      <c r="G27" s="6"/>
      <c r="H27" s="6"/>
      <c r="I27" s="6"/>
      <c r="J27" s="6"/>
    </row>
    <row r="28" spans="2:10" ht="15" outlineLevel="1">
      <c r="B28" s="1">
        <v>16</v>
      </c>
      <c r="C28" s="24"/>
      <c r="D28" s="41"/>
      <c r="E28" s="69"/>
      <c r="F28" s="49"/>
      <c r="G28" s="6"/>
      <c r="H28" s="6"/>
      <c r="I28" s="6"/>
      <c r="J28" s="6"/>
    </row>
    <row r="29" spans="2:10" ht="15" outlineLevel="1">
      <c r="B29" s="1">
        <v>17</v>
      </c>
      <c r="C29" s="24"/>
      <c r="D29" s="41"/>
      <c r="E29" s="69"/>
      <c r="F29" s="49"/>
      <c r="G29" s="6"/>
      <c r="H29" s="6"/>
      <c r="I29" s="6"/>
      <c r="J29" s="6"/>
    </row>
    <row r="30" spans="2:10" ht="15" outlineLevel="1">
      <c r="B30" s="1">
        <v>18</v>
      </c>
      <c r="C30" s="24"/>
      <c r="D30" s="41"/>
      <c r="E30" s="69"/>
      <c r="F30" s="49"/>
      <c r="G30" s="6"/>
      <c r="H30" s="6"/>
      <c r="I30" s="6"/>
      <c r="J30" s="6"/>
    </row>
    <row r="31" spans="2:10" ht="15" outlineLevel="1">
      <c r="B31" s="1">
        <v>19</v>
      </c>
      <c r="C31" s="24"/>
      <c r="D31" s="41"/>
      <c r="E31" s="69"/>
      <c r="F31" s="49"/>
      <c r="G31" s="6"/>
      <c r="H31" s="6"/>
      <c r="I31" s="6"/>
      <c r="J31" s="6"/>
    </row>
    <row r="32" spans="2:10" ht="15" outlineLevel="1">
      <c r="B32" s="1">
        <v>20</v>
      </c>
      <c r="C32" s="24"/>
      <c r="D32" s="41"/>
      <c r="E32" s="69"/>
      <c r="F32" s="49"/>
      <c r="G32" s="6"/>
      <c r="H32" s="6"/>
      <c r="I32" s="6"/>
      <c r="J32" s="6"/>
    </row>
    <row r="33" spans="1:10" ht="30" customHeight="1">
      <c r="C33" s="4" t="s">
        <v>72</v>
      </c>
      <c r="D33" s="40"/>
      <c r="E33" s="69"/>
      <c r="F33" s="48">
        <f ca="1">SUM(F25:F36)</f>
        <v>358586.71030000004</v>
      </c>
      <c r="G33" s="6"/>
      <c r="H33" s="6"/>
      <c r="I33" s="6"/>
      <c r="J33" s="6"/>
    </row>
    <row r="34" spans="1:10" ht="12.75" outlineLevel="1">
      <c r="B34" s="1">
        <v>1</v>
      </c>
      <c r="C34" s="3"/>
      <c r="F34" s="48"/>
      <c r="G34" s="6"/>
      <c r="H34" s="6"/>
      <c r="I34" s="6"/>
      <c r="J34" s="6"/>
    </row>
    <row r="35" spans="1:10" ht="128.25" outlineLevel="1">
      <c r="A35" s="90" t="s">
        <v>139</v>
      </c>
      <c r="B35" s="1">
        <v>16</v>
      </c>
      <c r="C35" s="5" t="s">
        <v>37</v>
      </c>
      <c r="D35" s="41">
        <v>25</v>
      </c>
      <c r="E35" s="69">
        <f>B2</f>
        <v>1300</v>
      </c>
      <c r="F35" s="48">
        <f>D35*E35*$B$1</f>
        <v>98822.75</v>
      </c>
      <c r="G35" s="6"/>
      <c r="H35" s="6"/>
      <c r="I35" s="6"/>
      <c r="J35" s="6"/>
    </row>
    <row r="36" spans="1:10" outlineLevel="1">
      <c r="B36" s="1">
        <v>16</v>
      </c>
      <c r="C36" s="5" t="s">
        <v>43</v>
      </c>
      <c r="D36" s="41">
        <v>84429</v>
      </c>
      <c r="E36" s="69">
        <v>1</v>
      </c>
      <c r="F36" s="48">
        <f>D36*E36*$B$1</f>
        <v>256723.26030000002</v>
      </c>
      <c r="G36" s="6"/>
      <c r="H36" s="6"/>
      <c r="I36" s="6"/>
      <c r="J36" s="6"/>
    </row>
    <row r="37" spans="1:10" ht="27">
      <c r="C37" s="4" t="s">
        <v>71</v>
      </c>
      <c r="D37" s="40"/>
      <c r="E37" s="69"/>
      <c r="F37" s="70"/>
      <c r="G37" s="6"/>
      <c r="H37" s="6"/>
      <c r="I37" s="6"/>
      <c r="J37" s="6"/>
    </row>
    <row r="38" spans="1:10" outlineLevel="1">
      <c r="B38" s="1">
        <v>1</v>
      </c>
      <c r="C38" s="8" t="s">
        <v>12</v>
      </c>
      <c r="D38" s="42"/>
      <c r="E38" s="69"/>
      <c r="F38" s="51"/>
      <c r="G38" s="6"/>
      <c r="H38" s="6"/>
      <c r="I38" s="6"/>
      <c r="J38" s="6"/>
    </row>
    <row r="39" spans="1:10" outlineLevel="1">
      <c r="B39" s="1">
        <v>2</v>
      </c>
      <c r="C39" s="8"/>
      <c r="D39" s="42"/>
      <c r="E39" s="69"/>
      <c r="F39" s="51"/>
      <c r="G39" s="6"/>
      <c r="H39" s="6"/>
      <c r="I39" s="6"/>
      <c r="J39" s="6"/>
    </row>
    <row r="40" spans="1:10" outlineLevel="1">
      <c r="B40" s="1">
        <v>16</v>
      </c>
      <c r="C40" s="8"/>
      <c r="D40" s="42"/>
      <c r="E40" s="69"/>
      <c r="F40" s="51"/>
      <c r="G40" s="6"/>
      <c r="H40" s="6"/>
      <c r="I40" s="6"/>
      <c r="J40" s="6"/>
    </row>
    <row r="41" spans="1:10">
      <c r="C41" s="10" t="s">
        <v>0</v>
      </c>
      <c r="D41" s="43"/>
      <c r="E41" s="69"/>
      <c r="F41" s="52"/>
      <c r="G41" s="6"/>
      <c r="H41" s="6"/>
      <c r="I41" s="6"/>
      <c r="J41" s="6"/>
    </row>
    <row r="42" spans="1:10">
      <c r="F42" s="71"/>
      <c r="H42" s="84"/>
      <c r="I42" s="84"/>
      <c r="J42" s="84"/>
    </row>
    <row r="43" spans="1:10" ht="14.25" thickBot="1"/>
    <row r="44" spans="1:10">
      <c r="C44" s="2" t="s">
        <v>1</v>
      </c>
      <c r="D44" s="46" t="s">
        <v>14</v>
      </c>
      <c r="E44" s="91" t="s">
        <v>15</v>
      </c>
      <c r="F44" s="46" t="s">
        <v>16</v>
      </c>
    </row>
    <row r="45" spans="1:10">
      <c r="C45" s="4" t="s">
        <v>2</v>
      </c>
      <c r="D45" s="50">
        <f t="shared" ref="D45:F45" si="4">SUM(D46:D56)</f>
        <v>1105</v>
      </c>
      <c r="E45" s="70">
        <f t="shared" si="4"/>
        <v>7800</v>
      </c>
      <c r="F45" s="50">
        <f t="shared" si="4"/>
        <v>7800</v>
      </c>
    </row>
    <row r="46" spans="1:10" ht="12.75" outlineLevel="1">
      <c r="B46" s="1">
        <v>1</v>
      </c>
      <c r="C46" s="28" t="s">
        <v>38</v>
      </c>
      <c r="D46" s="49"/>
      <c r="E46" s="69">
        <f>$D$46*9+$D$46</f>
        <v>0</v>
      </c>
      <c r="F46" s="49">
        <f t="shared" ref="F46" si="5">$D$46*9+$D$46</f>
        <v>0</v>
      </c>
    </row>
    <row r="47" spans="1:10" ht="12.75" outlineLevel="1">
      <c r="B47" s="1">
        <v>2</v>
      </c>
      <c r="C47" s="12" t="s">
        <v>39</v>
      </c>
      <c r="D47" s="49">
        <f>812.5-812.5*20%</f>
        <v>650</v>
      </c>
      <c r="E47" s="69">
        <f>$D$47*5</f>
        <v>3250</v>
      </c>
      <c r="F47" s="49">
        <f t="shared" ref="F47" si="6">$D$47*5</f>
        <v>3250</v>
      </c>
    </row>
    <row r="48" spans="1:10" ht="12.75" outlineLevel="1">
      <c r="B48" s="1">
        <v>3</v>
      </c>
      <c r="C48" s="27" t="s">
        <v>40</v>
      </c>
      <c r="D48" s="49">
        <f>568.75-568.75*20%</f>
        <v>455</v>
      </c>
      <c r="E48" s="69">
        <f>$D$48*10</f>
        <v>4550</v>
      </c>
      <c r="F48" s="49">
        <f t="shared" ref="F48" si="7">$D$48*10</f>
        <v>4550</v>
      </c>
    </row>
    <row r="49" spans="2:6" ht="12.75" outlineLevel="1">
      <c r="B49" s="1">
        <v>4</v>
      </c>
      <c r="C49" s="21" t="s">
        <v>73</v>
      </c>
      <c r="D49" s="49"/>
      <c r="E49" s="69"/>
      <c r="F49" s="49"/>
    </row>
    <row r="50" spans="2:6" ht="12.75" outlineLevel="1">
      <c r="B50" s="1">
        <v>5</v>
      </c>
      <c r="C50" s="21" t="s">
        <v>140</v>
      </c>
      <c r="D50" s="49"/>
      <c r="E50" s="69"/>
      <c r="F50" s="49"/>
    </row>
    <row r="51" spans="2:6" ht="12.75" outlineLevel="1">
      <c r="B51" s="1">
        <v>6</v>
      </c>
      <c r="C51" s="20"/>
      <c r="D51" s="49"/>
      <c r="E51" s="69"/>
      <c r="F51" s="49"/>
    </row>
    <row r="52" spans="2:6" ht="12.75" outlineLevel="1">
      <c r="B52" s="1">
        <v>7</v>
      </c>
      <c r="C52" s="18"/>
      <c r="D52" s="49"/>
      <c r="E52" s="69"/>
      <c r="F52" s="49"/>
    </row>
    <row r="53" spans="2:6" ht="12.75" outlineLevel="1">
      <c r="B53" s="1">
        <v>8</v>
      </c>
      <c r="C53" s="18"/>
      <c r="D53" s="49"/>
      <c r="E53" s="69"/>
      <c r="F53" s="49"/>
    </row>
    <row r="54" spans="2:6" ht="12.75" outlineLevel="1">
      <c r="B54" s="1">
        <v>9</v>
      </c>
      <c r="C54" s="18"/>
      <c r="D54" s="49"/>
      <c r="E54" s="69"/>
      <c r="F54" s="49"/>
    </row>
    <row r="55" spans="2:6" ht="12.75" outlineLevel="1">
      <c r="B55" s="1">
        <v>10</v>
      </c>
      <c r="C55" s="21"/>
      <c r="D55" s="49"/>
      <c r="E55" s="69"/>
      <c r="F55" s="49"/>
    </row>
    <row r="56" spans="2:6" outlineLevel="1">
      <c r="B56" s="1">
        <v>32</v>
      </c>
      <c r="C56" s="5"/>
      <c r="D56" s="49"/>
      <c r="E56" s="69"/>
      <c r="F56" s="49"/>
    </row>
    <row r="57" spans="2:6">
      <c r="C57" s="4" t="s">
        <v>3</v>
      </c>
      <c r="D57" s="50">
        <f t="shared" ref="D57:F57" si="8">SUM(D58:D62)</f>
        <v>0</v>
      </c>
      <c r="E57" s="70">
        <f t="shared" si="8"/>
        <v>0</v>
      </c>
      <c r="F57" s="50">
        <f t="shared" si="8"/>
        <v>0</v>
      </c>
    </row>
    <row r="58" spans="2:6" outlineLevel="1">
      <c r="B58" s="1">
        <v>1</v>
      </c>
      <c r="C58" s="19" t="s">
        <v>42</v>
      </c>
      <c r="D58" s="54"/>
      <c r="E58" s="93"/>
      <c r="F58" s="54"/>
    </row>
    <row r="59" spans="2:6" outlineLevel="1">
      <c r="B59" s="1">
        <v>2</v>
      </c>
      <c r="C59" s="5"/>
      <c r="D59" s="49"/>
      <c r="E59" s="69"/>
      <c r="F59" s="49"/>
    </row>
    <row r="60" spans="2:6" outlineLevel="1">
      <c r="B60" s="1">
        <v>3</v>
      </c>
      <c r="C60" s="19"/>
      <c r="D60" s="54"/>
      <c r="E60" s="93"/>
      <c r="F60" s="54"/>
    </row>
    <row r="61" spans="2:6" outlineLevel="1">
      <c r="B61" s="1">
        <v>4</v>
      </c>
      <c r="C61" s="5"/>
      <c r="D61" s="49"/>
      <c r="E61" s="69"/>
      <c r="F61" s="49"/>
    </row>
    <row r="62" spans="2:6" outlineLevel="1">
      <c r="B62" s="1">
        <v>16</v>
      </c>
      <c r="C62" s="5"/>
      <c r="D62" s="49"/>
      <c r="E62" s="69"/>
      <c r="F62" s="49"/>
    </row>
    <row r="63" spans="2:6">
      <c r="C63" s="4" t="s">
        <v>4</v>
      </c>
      <c r="D63" s="50">
        <f t="shared" ref="D63:F63" si="9">SUM(D64:D69)</f>
        <v>802.39583333333326</v>
      </c>
      <c r="E63" s="70">
        <f t="shared" si="9"/>
        <v>4154.1666666666661</v>
      </c>
      <c r="F63" s="50">
        <f t="shared" si="9"/>
        <v>4154.1666666666661</v>
      </c>
    </row>
    <row r="64" spans="2:6" outlineLevel="1">
      <c r="B64" s="1">
        <v>1</v>
      </c>
      <c r="C64" s="5"/>
      <c r="D64" s="55">
        <f>D107*5%</f>
        <v>802.39583333333326</v>
      </c>
      <c r="E64" s="94">
        <f t="shared" ref="E64:F64" si="10">E107*5%</f>
        <v>4154.1666666666661</v>
      </c>
      <c r="F64" s="55">
        <f t="shared" si="10"/>
        <v>4154.1666666666661</v>
      </c>
    </row>
    <row r="65" spans="2:6" outlineLevel="1">
      <c r="B65" s="1">
        <v>2</v>
      </c>
      <c r="C65" s="5"/>
      <c r="D65" s="49"/>
      <c r="E65" s="69"/>
      <c r="F65" s="49"/>
    </row>
    <row r="66" spans="2:6" outlineLevel="1">
      <c r="B66" s="1">
        <v>3</v>
      </c>
      <c r="C66" s="5"/>
      <c r="D66" s="49"/>
      <c r="E66" s="69"/>
      <c r="F66" s="49"/>
    </row>
    <row r="67" spans="2:6" outlineLevel="1">
      <c r="B67" s="1">
        <v>4</v>
      </c>
      <c r="C67" s="5"/>
      <c r="D67" s="49"/>
      <c r="E67" s="69"/>
      <c r="F67" s="49"/>
    </row>
    <row r="68" spans="2:6" outlineLevel="1">
      <c r="B68" s="1">
        <v>5</v>
      </c>
      <c r="C68" s="5"/>
      <c r="D68" s="49"/>
      <c r="E68" s="69"/>
      <c r="F68" s="49"/>
    </row>
    <row r="69" spans="2:6" outlineLevel="1">
      <c r="B69" s="1">
        <v>6</v>
      </c>
      <c r="C69" s="5"/>
      <c r="D69" s="49"/>
      <c r="E69" s="69"/>
      <c r="F69" s="49"/>
    </row>
    <row r="70" spans="2:6">
      <c r="C70" s="4" t="s">
        <v>5</v>
      </c>
      <c r="D70" s="50">
        <f t="shared" ref="D70:F70" si="11">SUM(D71:D73)</f>
        <v>500</v>
      </c>
      <c r="E70" s="70">
        <f t="shared" si="11"/>
        <v>500</v>
      </c>
      <c r="F70" s="50">
        <f t="shared" si="11"/>
        <v>500</v>
      </c>
    </row>
    <row r="71" spans="2:6" outlineLevel="1">
      <c r="B71" s="1">
        <v>1</v>
      </c>
      <c r="C71" s="5" t="s">
        <v>44</v>
      </c>
      <c r="D71" s="49">
        <v>500</v>
      </c>
      <c r="E71" s="69">
        <v>500</v>
      </c>
      <c r="F71" s="49">
        <v>500</v>
      </c>
    </row>
    <row r="72" spans="2:6" outlineLevel="1">
      <c r="B72" s="1">
        <v>2</v>
      </c>
      <c r="C72" s="5"/>
      <c r="D72" s="49"/>
      <c r="E72" s="69"/>
      <c r="F72" s="49"/>
    </row>
    <row r="73" spans="2:6" outlineLevel="1">
      <c r="B73" s="1">
        <v>3</v>
      </c>
      <c r="C73" s="5"/>
      <c r="D73" s="49"/>
      <c r="E73" s="69"/>
      <c r="F73" s="49"/>
    </row>
    <row r="74" spans="2:6">
      <c r="C74" s="4" t="s">
        <v>6</v>
      </c>
      <c r="D74" s="50">
        <f t="shared" ref="D74:F74" si="12">SUM(D75:D82)</f>
        <v>500</v>
      </c>
      <c r="E74" s="70">
        <f t="shared" si="12"/>
        <v>15000</v>
      </c>
      <c r="F74" s="50">
        <f t="shared" si="12"/>
        <v>15000</v>
      </c>
    </row>
    <row r="75" spans="2:6" ht="12.75" outlineLevel="1">
      <c r="B75" s="1">
        <v>1</v>
      </c>
      <c r="C75" s="22" t="s">
        <v>21</v>
      </c>
      <c r="D75" s="49"/>
      <c r="E75" s="69"/>
      <c r="F75" s="49"/>
    </row>
    <row r="76" spans="2:6" outlineLevel="1">
      <c r="B76" s="1">
        <v>2</v>
      </c>
      <c r="C76" s="5" t="s">
        <v>17</v>
      </c>
      <c r="D76" s="49"/>
      <c r="E76" s="69"/>
      <c r="F76" s="49"/>
    </row>
    <row r="77" spans="2:6" outlineLevel="1">
      <c r="B77" s="1">
        <v>3</v>
      </c>
      <c r="C77" s="19" t="s">
        <v>18</v>
      </c>
      <c r="D77" s="49">
        <v>200</v>
      </c>
      <c r="E77" s="69">
        <f>$D$77*10</f>
        <v>2000</v>
      </c>
      <c r="F77" s="49">
        <f t="shared" ref="F77" si="13">$D$77*10</f>
        <v>2000</v>
      </c>
    </row>
    <row r="78" spans="2:6" outlineLevel="1">
      <c r="B78" s="1">
        <v>4</v>
      </c>
      <c r="C78" s="19" t="s">
        <v>22</v>
      </c>
      <c r="D78" s="49">
        <v>50</v>
      </c>
      <c r="E78" s="69">
        <f>$D$78*10</f>
        <v>500</v>
      </c>
      <c r="F78" s="49">
        <f t="shared" ref="F78" si="14">$D$78*10</f>
        <v>500</v>
      </c>
    </row>
    <row r="79" spans="2:6" outlineLevel="1">
      <c r="B79" s="1">
        <v>5</v>
      </c>
      <c r="C79" s="5" t="s">
        <v>19</v>
      </c>
      <c r="D79" s="49"/>
      <c r="E79" s="69"/>
      <c r="F79" s="49"/>
    </row>
    <row r="80" spans="2:6" ht="12.75" outlineLevel="1">
      <c r="B80" s="1">
        <v>6</v>
      </c>
      <c r="C80" s="26" t="s">
        <v>41</v>
      </c>
      <c r="D80" s="49">
        <v>100</v>
      </c>
      <c r="E80" s="69">
        <f>$D$80*10</f>
        <v>1000</v>
      </c>
      <c r="F80" s="49">
        <f t="shared" ref="F80" si="15">$D$80*10</f>
        <v>1000</v>
      </c>
    </row>
    <row r="81" spans="2:6" outlineLevel="1">
      <c r="B81" s="1">
        <v>7</v>
      </c>
      <c r="C81" s="16" t="s">
        <v>45</v>
      </c>
      <c r="D81" s="49"/>
      <c r="E81" s="69">
        <f>1000*10</f>
        <v>10000</v>
      </c>
      <c r="F81" s="49">
        <f t="shared" ref="F81" si="16">1000*10</f>
        <v>10000</v>
      </c>
    </row>
    <row r="82" spans="2:6" ht="27" outlineLevel="1">
      <c r="B82" s="1">
        <v>8</v>
      </c>
      <c r="C82" s="16" t="s">
        <v>31</v>
      </c>
      <c r="D82" s="49">
        <v>150</v>
      </c>
      <c r="E82" s="69">
        <f>$D$82*10</f>
        <v>1500</v>
      </c>
      <c r="F82" s="49">
        <f t="shared" ref="F82" si="17">$D$82*10</f>
        <v>1500</v>
      </c>
    </row>
    <row r="83" spans="2:6">
      <c r="C83" s="4" t="s">
        <v>7</v>
      </c>
      <c r="D83" s="50">
        <f t="shared" ref="D83:F83" si="18">SUM(D84:D87)</f>
        <v>276.25</v>
      </c>
      <c r="E83" s="70">
        <f t="shared" si="18"/>
        <v>1950</v>
      </c>
      <c r="F83" s="50">
        <f t="shared" si="18"/>
        <v>83518.269541880247</v>
      </c>
    </row>
    <row r="84" spans="2:6" outlineLevel="1">
      <c r="B84" s="1">
        <v>1</v>
      </c>
      <c r="C84" s="5" t="s">
        <v>11</v>
      </c>
      <c r="D84" s="49">
        <f t="shared" ref="D84:F84" si="19">(D45+D59)*25%</f>
        <v>276.25</v>
      </c>
      <c r="E84" s="69">
        <f t="shared" si="19"/>
        <v>1950</v>
      </c>
      <c r="F84" s="49">
        <f t="shared" si="19"/>
        <v>1950</v>
      </c>
    </row>
    <row r="85" spans="2:6" outlineLevel="1">
      <c r="B85" s="1">
        <v>2</v>
      </c>
      <c r="C85" s="5" t="s">
        <v>20</v>
      </c>
      <c r="D85" s="49"/>
      <c r="E85" s="69"/>
      <c r="F85" s="49">
        <f>SUM(D10:F10)*1%/4</f>
        <v>81568.269541880247</v>
      </c>
    </row>
    <row r="86" spans="2:6" outlineLevel="1">
      <c r="B86" s="1">
        <v>3</v>
      </c>
      <c r="C86" s="5"/>
      <c r="D86" s="49"/>
      <c r="E86" s="69"/>
      <c r="F86" s="49"/>
    </row>
    <row r="87" spans="2:6" outlineLevel="1">
      <c r="B87" s="1">
        <v>16</v>
      </c>
      <c r="C87" s="5"/>
      <c r="D87" s="49"/>
      <c r="E87" s="69"/>
      <c r="F87" s="49"/>
    </row>
    <row r="88" spans="2:6">
      <c r="C88" s="4" t="s">
        <v>8</v>
      </c>
      <c r="D88" s="50">
        <f t="shared" ref="D88:F88" si="20">SUM(D89:D91)</f>
        <v>159.18229166666666</v>
      </c>
      <c r="E88" s="70">
        <f t="shared" si="20"/>
        <v>1470.2083333333333</v>
      </c>
      <c r="F88" s="50">
        <f t="shared" si="20"/>
        <v>5548.6218104273466</v>
      </c>
    </row>
    <row r="89" spans="2:6" outlineLevel="1">
      <c r="B89" s="1">
        <v>1</v>
      </c>
      <c r="C89" s="8" t="s">
        <v>12</v>
      </c>
      <c r="D89" s="51">
        <f t="shared" ref="D89:F89" si="21">SUM(D45,D57,D63,D70,D74,D83)*5%</f>
        <v>159.18229166666666</v>
      </c>
      <c r="E89" s="95">
        <f t="shared" si="21"/>
        <v>1470.2083333333333</v>
      </c>
      <c r="F89" s="51">
        <f t="shared" si="21"/>
        <v>5548.6218104273466</v>
      </c>
    </row>
    <row r="90" spans="2:6" outlineLevel="1">
      <c r="B90" s="1">
        <v>2</v>
      </c>
      <c r="C90" s="8"/>
      <c r="D90" s="51"/>
      <c r="E90" s="95"/>
      <c r="F90" s="51"/>
    </row>
    <row r="91" spans="2:6" outlineLevel="1">
      <c r="B91" s="1">
        <v>16</v>
      </c>
      <c r="C91" s="8"/>
      <c r="D91" s="51"/>
      <c r="E91" s="95"/>
      <c r="F91" s="51"/>
    </row>
    <row r="92" spans="2:6">
      <c r="C92" s="10" t="s">
        <v>9</v>
      </c>
      <c r="D92" s="52">
        <f t="shared" ref="D92:F92" si="22">SUM(D45,D57,D63,D70,D74,D83,D88)</f>
        <v>3342.8281249999995</v>
      </c>
      <c r="E92" s="96">
        <f t="shared" si="22"/>
        <v>30874.374999999996</v>
      </c>
      <c r="F92" s="52">
        <f t="shared" si="22"/>
        <v>116521.05801897426</v>
      </c>
    </row>
    <row r="94" spans="2:6" ht="14.25" thickBot="1"/>
    <row r="95" spans="2:6" s="32" customFormat="1" ht="27.75" thickBot="1">
      <c r="B95" s="30"/>
      <c r="C95" s="36" t="s">
        <v>10</v>
      </c>
      <c r="D95" s="56">
        <f t="shared" ref="D95:F95" si="23">D92+D41</f>
        <v>3342.8281249999995</v>
      </c>
      <c r="E95" s="97">
        <f t="shared" si="23"/>
        <v>30874.374999999996</v>
      </c>
      <c r="F95" s="56">
        <f t="shared" si="23"/>
        <v>116521.05801897426</v>
      </c>
    </row>
    <row r="97" spans="2:6">
      <c r="C97" s="29" t="s">
        <v>50</v>
      </c>
      <c r="D97" s="57"/>
      <c r="E97" s="57"/>
      <c r="F97" s="57"/>
    </row>
    <row r="98" spans="2:6">
      <c r="C98" s="7" t="s">
        <v>51</v>
      </c>
      <c r="D98" s="57"/>
      <c r="E98" s="57"/>
      <c r="F98" s="57"/>
    </row>
    <row r="99" spans="2:6" s="15" customFormat="1" ht="15">
      <c r="B99" s="14"/>
      <c r="C99" s="7" t="s">
        <v>52</v>
      </c>
      <c r="D99" s="58"/>
      <c r="E99" s="98"/>
      <c r="F99" s="58"/>
    </row>
    <row r="100" spans="2:6" s="15" customFormat="1" ht="15">
      <c r="B100" s="14"/>
      <c r="C100" s="7" t="s">
        <v>53</v>
      </c>
      <c r="D100" s="58"/>
      <c r="E100" s="98"/>
      <c r="F100" s="58"/>
    </row>
    <row r="101" spans="2:6" s="15" customFormat="1" ht="15">
      <c r="B101" s="14"/>
      <c r="C101" s="7" t="s">
        <v>54</v>
      </c>
      <c r="D101" s="59"/>
      <c r="E101" s="99"/>
      <c r="F101" s="59"/>
    </row>
    <row r="102" spans="2:6" s="15" customFormat="1" ht="27">
      <c r="B102" s="14"/>
      <c r="C102" s="7" t="s">
        <v>74</v>
      </c>
      <c r="D102" s="49">
        <f>(D47+D48)*1.25</f>
        <v>1381.25</v>
      </c>
      <c r="E102" s="69">
        <f t="shared" ref="E102:F102" si="24">(E47+E48)*1.25</f>
        <v>9750</v>
      </c>
      <c r="F102" s="49">
        <f t="shared" si="24"/>
        <v>9750</v>
      </c>
    </row>
    <row r="103" spans="2:6" s="32" customFormat="1" ht="27">
      <c r="B103" s="30"/>
      <c r="C103" s="31" t="s">
        <v>75</v>
      </c>
      <c r="D103" s="60">
        <f>((704000000/1200)/12)*30%</f>
        <v>14666.666666666664</v>
      </c>
      <c r="E103" s="57">
        <f>$D$103*5</f>
        <v>73333.333333333314</v>
      </c>
      <c r="F103" s="60">
        <f t="shared" ref="F103" si="25">$D$103*5</f>
        <v>73333.333333333314</v>
      </c>
    </row>
    <row r="104" spans="2:6">
      <c r="C104" s="7"/>
      <c r="D104" s="57"/>
      <c r="E104" s="57"/>
      <c r="F104" s="57"/>
    </row>
    <row r="105" spans="2:6">
      <c r="C105" s="7"/>
      <c r="D105" s="66"/>
      <c r="E105" s="57"/>
      <c r="F105" s="57"/>
    </row>
    <row r="106" spans="2:6">
      <c r="C106" s="7"/>
      <c r="D106" s="49"/>
      <c r="E106" s="69"/>
      <c r="F106" s="49"/>
    </row>
    <row r="107" spans="2:6" s="35" customFormat="1" ht="15.75">
      <c r="B107" s="33"/>
      <c r="C107" s="34" t="s">
        <v>55</v>
      </c>
      <c r="D107" s="61">
        <f>SUM(D98:D106)</f>
        <v>16047.916666666664</v>
      </c>
      <c r="E107" s="100">
        <f t="shared" ref="E107:F107" si="26">SUM(E98:E106)</f>
        <v>83083.333333333314</v>
      </c>
      <c r="F107" s="61">
        <f t="shared" si="26"/>
        <v>83083.333333333314</v>
      </c>
    </row>
    <row r="108" spans="2:6">
      <c r="C108" s="7"/>
      <c r="D108" s="49"/>
      <c r="E108" s="69"/>
      <c r="F108" s="49"/>
    </row>
    <row r="109" spans="2:6">
      <c r="C109" s="7"/>
      <c r="D109" s="49"/>
      <c r="E109" s="69"/>
      <c r="F109" s="49"/>
    </row>
    <row r="110" spans="2:6">
      <c r="C110" s="7"/>
      <c r="D110" s="62"/>
      <c r="E110" s="101"/>
      <c r="F110" s="62"/>
    </row>
    <row r="111" spans="2:6">
      <c r="C111" s="7"/>
      <c r="D111" s="63"/>
      <c r="E111" s="101"/>
      <c r="F111" s="63"/>
    </row>
    <row r="112" spans="2:6">
      <c r="C112" s="7"/>
      <c r="D112" s="62"/>
      <c r="E112" s="101"/>
      <c r="F112" s="62"/>
    </row>
    <row r="113" spans="3:6">
      <c r="C113" s="7"/>
      <c r="D113" s="64"/>
      <c r="E113" s="102"/>
      <c r="F113" s="64"/>
    </row>
    <row r="114" spans="3:6">
      <c r="C114" s="7"/>
      <c r="D114" s="65"/>
      <c r="E114" s="101"/>
      <c r="F114" s="65"/>
    </row>
    <row r="115" spans="3:6" ht="30" customHeight="1">
      <c r="C115" s="7"/>
      <c r="D115" s="49"/>
      <c r="E115" s="69"/>
      <c r="F115" s="49"/>
    </row>
    <row r="117" spans="3:6">
      <c r="D117" s="72"/>
    </row>
  </sheetData>
  <pageMargins left="3.937007874015748E-2" right="3.937007874015748E-2" top="0.74803149606299213" bottom="0.15748031496062992" header="0" footer="0"/>
  <pageSetup paperSize="9" scale="8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"/>
  <sheetViews>
    <sheetView tabSelected="1" zoomScale="85" zoomScaleNormal="85" workbookViewId="0">
      <selection activeCell="P19" sqref="P19"/>
    </sheetView>
  </sheetViews>
  <sheetFormatPr defaultColWidth="8.85546875" defaultRowHeight="12.75"/>
  <cols>
    <col min="1" max="1" width="24.28515625" style="104" customWidth="1"/>
    <col min="2" max="2" width="48.140625" style="104" customWidth="1"/>
    <col min="3" max="3" width="22.7109375" style="106" customWidth="1"/>
    <col min="4" max="4" width="19.42578125" style="106" hidden="1" customWidth="1"/>
    <col min="5" max="5" width="17.42578125" style="106" customWidth="1"/>
    <col min="6" max="6" width="13.85546875" style="104" customWidth="1"/>
    <col min="7" max="7" width="16.42578125" style="104" customWidth="1"/>
    <col min="8" max="8" width="16.140625" style="104" customWidth="1"/>
    <col min="9" max="10" width="11" style="104" hidden="1" customWidth="1"/>
    <col min="11" max="11" width="21.7109375" style="105" hidden="1" customWidth="1"/>
    <col min="12" max="12" width="17.140625" style="104" customWidth="1"/>
    <col min="13" max="13" width="8.85546875" style="104" customWidth="1"/>
    <col min="14" max="14" width="12.7109375" style="104" customWidth="1"/>
    <col min="15" max="15" width="20.140625" style="104" customWidth="1"/>
    <col min="16" max="16" width="8.85546875" style="104" customWidth="1"/>
    <col min="17" max="17" width="14.42578125" style="104" customWidth="1"/>
    <col min="18" max="18" width="14.85546875" style="104" customWidth="1"/>
    <col min="19" max="16384" width="8.85546875" style="104"/>
  </cols>
  <sheetData>
    <row r="2" spans="1:18" ht="82.5" customHeight="1">
      <c r="A2" s="185" t="s">
        <v>137</v>
      </c>
      <c r="B2" s="184" t="s">
        <v>136</v>
      </c>
      <c r="C2" s="183" t="s">
        <v>135</v>
      </c>
      <c r="D2" s="183" t="s">
        <v>134</v>
      </c>
      <c r="E2" s="183" t="s">
        <v>133</v>
      </c>
      <c r="F2" s="183" t="s">
        <v>125</v>
      </c>
      <c r="G2" s="183" t="s">
        <v>132</v>
      </c>
      <c r="H2" s="183" t="s">
        <v>131</v>
      </c>
      <c r="I2" s="110"/>
      <c r="J2" s="178" t="s">
        <v>130</v>
      </c>
      <c r="K2" s="178" t="s">
        <v>129</v>
      </c>
      <c r="L2" s="182"/>
      <c r="M2" s="176"/>
      <c r="N2" s="176"/>
      <c r="O2" s="181" t="s">
        <v>128</v>
      </c>
      <c r="P2" s="176">
        <v>2600</v>
      </c>
      <c r="Q2" s="177" t="s">
        <v>127</v>
      </c>
    </row>
    <row r="3" spans="1:18" ht="15">
      <c r="A3" s="150" t="s">
        <v>101</v>
      </c>
      <c r="B3" s="175" t="s">
        <v>126</v>
      </c>
      <c r="C3" s="180"/>
      <c r="D3" s="180"/>
      <c r="E3" s="180"/>
      <c r="F3" s="180"/>
      <c r="G3" s="180"/>
      <c r="H3" s="180"/>
      <c r="I3" s="179"/>
      <c r="J3" s="143"/>
      <c r="K3" s="178"/>
      <c r="L3" s="85">
        <v>1539100</v>
      </c>
      <c r="M3" s="176"/>
      <c r="N3" s="176"/>
      <c r="O3" s="177" t="s">
        <v>125</v>
      </c>
      <c r="P3" s="177">
        <v>1000</v>
      </c>
      <c r="Q3" s="177" t="s">
        <v>138</v>
      </c>
    </row>
    <row r="4" spans="1:18" ht="30">
      <c r="A4" s="150" t="s">
        <v>101</v>
      </c>
      <c r="B4" s="175" t="s">
        <v>124</v>
      </c>
      <c r="C4" s="180"/>
      <c r="D4" s="180"/>
      <c r="E4" s="180"/>
      <c r="F4" s="180"/>
      <c r="G4" s="180"/>
      <c r="H4" s="180"/>
      <c r="I4" s="179"/>
      <c r="J4" s="143"/>
      <c r="K4" s="178"/>
      <c r="L4" s="197">
        <v>591961.5384615385</v>
      </c>
      <c r="M4" s="176"/>
      <c r="N4" s="176"/>
      <c r="O4" s="177" t="s">
        <v>123</v>
      </c>
      <c r="P4" s="176">
        <v>12</v>
      </c>
      <c r="Q4" s="176"/>
    </row>
    <row r="5" spans="1:18" ht="15">
      <c r="A5" s="150" t="s">
        <v>101</v>
      </c>
      <c r="B5" s="175" t="s">
        <v>122</v>
      </c>
      <c r="C5" s="169">
        <v>0.86</v>
      </c>
      <c r="D5" s="169">
        <v>0.86</v>
      </c>
      <c r="E5" s="174">
        <v>1</v>
      </c>
      <c r="F5" s="173"/>
      <c r="G5" s="172"/>
      <c r="H5" s="172"/>
      <c r="I5" s="171"/>
      <c r="J5" s="170" t="e">
        <f>#REF!+#REF!</f>
        <v>#REF!</v>
      </c>
      <c r="K5" s="169">
        <v>0.86</v>
      </c>
    </row>
    <row r="6" spans="1:18" ht="15">
      <c r="A6" s="150" t="s">
        <v>101</v>
      </c>
      <c r="B6" s="154" t="s">
        <v>121</v>
      </c>
      <c r="C6" s="145">
        <f t="shared" ref="C6:C13" si="0">H6/$P$3/$P$4</f>
        <v>4.7833333333333339E-3</v>
      </c>
      <c r="D6" s="148">
        <f t="shared" ref="D6:D13" si="1">C6*E6</f>
        <v>4.7833333333333339E-3</v>
      </c>
      <c r="E6" s="138">
        <v>1</v>
      </c>
      <c r="F6" s="147">
        <v>20</v>
      </c>
      <c r="G6" s="195">
        <v>2.87</v>
      </c>
      <c r="H6" s="145">
        <f t="shared" ref="H6:H13" si="2">F6*G6</f>
        <v>57.400000000000006</v>
      </c>
      <c r="I6" s="153"/>
      <c r="J6" s="143"/>
      <c r="K6" s="167"/>
      <c r="L6" s="199">
        <f>$L$4*F6/1000</f>
        <v>11839.23076923077</v>
      </c>
    </row>
    <row r="7" spans="1:18" ht="15">
      <c r="A7" s="150" t="s">
        <v>101</v>
      </c>
      <c r="B7" s="154" t="s">
        <v>120</v>
      </c>
      <c r="C7" s="145">
        <f t="shared" si="0"/>
        <v>0.1925</v>
      </c>
      <c r="D7" s="148">
        <f t="shared" si="1"/>
        <v>0.1925</v>
      </c>
      <c r="E7" s="138">
        <v>1</v>
      </c>
      <c r="F7" s="147">
        <v>100</v>
      </c>
      <c r="G7" s="195">
        <v>23.1</v>
      </c>
      <c r="H7" s="145">
        <f t="shared" si="2"/>
        <v>2310</v>
      </c>
      <c r="I7" s="153"/>
      <c r="J7" s="143"/>
      <c r="K7" s="142"/>
      <c r="L7" s="199">
        <f t="shared" ref="L7:L27" si="3">$L$4*F7/1000</f>
        <v>59196.153846153851</v>
      </c>
      <c r="N7" s="197"/>
      <c r="R7" s="85"/>
    </row>
    <row r="8" spans="1:18" ht="15">
      <c r="A8" s="150" t="s">
        <v>101</v>
      </c>
      <c r="B8" s="154" t="s">
        <v>119</v>
      </c>
      <c r="C8" s="145">
        <f t="shared" si="0"/>
        <v>3.3333333333333333E-2</v>
      </c>
      <c r="D8" s="148">
        <f t="shared" si="1"/>
        <v>3.3333333333333333E-2</v>
      </c>
      <c r="E8" s="138">
        <v>1</v>
      </c>
      <c r="F8" s="147">
        <v>100</v>
      </c>
      <c r="G8" s="195">
        <v>4</v>
      </c>
      <c r="H8" s="145">
        <f t="shared" si="2"/>
        <v>400</v>
      </c>
      <c r="I8" s="153"/>
      <c r="J8" s="143"/>
      <c r="K8" s="142"/>
      <c r="L8" s="199">
        <f t="shared" si="3"/>
        <v>59196.153846153851</v>
      </c>
      <c r="N8" s="197"/>
      <c r="O8" s="200"/>
      <c r="P8" s="201"/>
      <c r="Q8" s="198"/>
    </row>
    <row r="9" spans="1:18" ht="15">
      <c r="A9" s="150" t="s">
        <v>101</v>
      </c>
      <c r="B9" s="154" t="s">
        <v>118</v>
      </c>
      <c r="C9" s="145">
        <f t="shared" si="0"/>
        <v>0</v>
      </c>
      <c r="D9" s="148">
        <f t="shared" si="1"/>
        <v>0</v>
      </c>
      <c r="E9" s="138">
        <v>1</v>
      </c>
      <c r="F9" s="147">
        <v>0</v>
      </c>
      <c r="G9" s="195">
        <v>8.6999999999999993</v>
      </c>
      <c r="H9" s="145">
        <f t="shared" si="2"/>
        <v>0</v>
      </c>
      <c r="I9" s="153"/>
      <c r="J9" s="143"/>
      <c r="K9" s="142"/>
      <c r="L9" s="199">
        <f t="shared" si="3"/>
        <v>0</v>
      </c>
    </row>
    <row r="10" spans="1:18" ht="15">
      <c r="A10" s="166" t="s">
        <v>101</v>
      </c>
      <c r="B10" s="168" t="s">
        <v>117</v>
      </c>
      <c r="C10" s="145">
        <f t="shared" si="0"/>
        <v>2.7416666666666669E-2</v>
      </c>
      <c r="D10" s="148">
        <f t="shared" si="1"/>
        <v>2.7416666666666669E-2</v>
      </c>
      <c r="E10" s="138">
        <v>1</v>
      </c>
      <c r="F10" s="147">
        <v>100</v>
      </c>
      <c r="G10" s="195">
        <v>3.29</v>
      </c>
      <c r="H10" s="145">
        <f t="shared" si="2"/>
        <v>329</v>
      </c>
      <c r="I10" s="153"/>
      <c r="J10" s="143"/>
      <c r="K10" s="167"/>
      <c r="L10" s="199">
        <f t="shared" si="3"/>
        <v>59196.153846153851</v>
      </c>
      <c r="R10" s="198"/>
    </row>
    <row r="11" spans="1:18" ht="15">
      <c r="A11" s="166" t="s">
        <v>101</v>
      </c>
      <c r="B11" s="165" t="s">
        <v>116</v>
      </c>
      <c r="C11" s="145">
        <f t="shared" si="0"/>
        <v>4.2874999999999996E-2</v>
      </c>
      <c r="D11" s="148">
        <f t="shared" si="1"/>
        <v>4.2874999999999996E-2</v>
      </c>
      <c r="E11" s="138">
        <v>1</v>
      </c>
      <c r="F11" s="147">
        <v>150</v>
      </c>
      <c r="G11" s="195">
        <v>3.43</v>
      </c>
      <c r="H11" s="145">
        <f t="shared" si="2"/>
        <v>514.5</v>
      </c>
      <c r="I11" s="153"/>
      <c r="J11" s="143"/>
      <c r="K11" s="142"/>
      <c r="L11" s="199">
        <f t="shared" si="3"/>
        <v>88794.230769230766</v>
      </c>
      <c r="P11" s="202">
        <f>65/2600</f>
        <v>2.5000000000000001E-2</v>
      </c>
    </row>
    <row r="12" spans="1:18" ht="15">
      <c r="A12" s="166" t="s">
        <v>101</v>
      </c>
      <c r="B12" s="165" t="s">
        <v>115</v>
      </c>
      <c r="C12" s="145">
        <f t="shared" si="0"/>
        <v>5.8333333333333327E-2</v>
      </c>
      <c r="D12" s="148">
        <f t="shared" si="1"/>
        <v>5.8333333333333327E-2</v>
      </c>
      <c r="E12" s="138">
        <v>1</v>
      </c>
      <c r="F12" s="147">
        <v>100</v>
      </c>
      <c r="G12" s="145">
        <v>7</v>
      </c>
      <c r="H12" s="145">
        <f t="shared" si="2"/>
        <v>700</v>
      </c>
      <c r="I12" s="153"/>
      <c r="J12" s="143"/>
      <c r="K12" s="142"/>
      <c r="L12" s="199">
        <f t="shared" si="3"/>
        <v>59196.153846153851</v>
      </c>
      <c r="O12" s="85"/>
      <c r="Q12" s="197"/>
    </row>
    <row r="13" spans="1:18" ht="15">
      <c r="A13" s="166" t="s">
        <v>101</v>
      </c>
      <c r="B13" s="165" t="s">
        <v>114</v>
      </c>
      <c r="C13" s="145">
        <f t="shared" si="0"/>
        <v>2.5833333333333333E-2</v>
      </c>
      <c r="D13" s="148">
        <f t="shared" si="1"/>
        <v>2.5833333333333333E-2</v>
      </c>
      <c r="E13" s="138">
        <v>1</v>
      </c>
      <c r="F13" s="147">
        <v>100</v>
      </c>
      <c r="G13" s="195">
        <v>3.1</v>
      </c>
      <c r="H13" s="145">
        <f t="shared" si="2"/>
        <v>310</v>
      </c>
      <c r="I13" s="153"/>
      <c r="J13" s="143"/>
      <c r="K13" s="142"/>
      <c r="L13" s="199">
        <f t="shared" si="3"/>
        <v>59196.153846153851</v>
      </c>
      <c r="P13" s="201"/>
    </row>
    <row r="14" spans="1:18" ht="15">
      <c r="A14" s="163" t="s">
        <v>109</v>
      </c>
      <c r="B14" s="162"/>
      <c r="C14" s="161">
        <f>SUM(C6:C13)</f>
        <v>0.385075</v>
      </c>
      <c r="D14" s="161">
        <f>SUM(D6:D13)</f>
        <v>0.385075</v>
      </c>
      <c r="E14" s="160"/>
      <c r="F14" s="159"/>
      <c r="G14" s="158"/>
      <c r="H14" s="158"/>
      <c r="I14" s="153"/>
      <c r="J14" s="164">
        <f>C5+C14</f>
        <v>1.2450749999999999</v>
      </c>
      <c r="K14" s="155">
        <f>D5+D14</f>
        <v>1.2450749999999999</v>
      </c>
      <c r="L14" s="199">
        <f t="shared" si="3"/>
        <v>0</v>
      </c>
    </row>
    <row r="15" spans="1:18" ht="15">
      <c r="A15" s="150" t="s">
        <v>101</v>
      </c>
      <c r="B15" s="154" t="s">
        <v>113</v>
      </c>
      <c r="C15" s="145">
        <f>H15/$P$3/$P$4</f>
        <v>1.4916666666666667E-2</v>
      </c>
      <c r="D15" s="148">
        <f>C15*E15</f>
        <v>1.4916666666666667E-2</v>
      </c>
      <c r="E15" s="138">
        <v>1</v>
      </c>
      <c r="F15" s="147">
        <v>10</v>
      </c>
      <c r="G15" s="195">
        <v>17.899999999999999</v>
      </c>
      <c r="H15" s="145">
        <f>F15*G15</f>
        <v>179</v>
      </c>
      <c r="I15" s="157"/>
      <c r="J15" s="143"/>
      <c r="K15" s="142"/>
      <c r="L15" s="199">
        <f t="shared" si="3"/>
        <v>5919.6153846153848</v>
      </c>
    </row>
    <row r="16" spans="1:18" ht="30">
      <c r="A16" s="150" t="s">
        <v>101</v>
      </c>
      <c r="B16" s="154" t="s">
        <v>112</v>
      </c>
      <c r="C16" s="145">
        <f>H16/$P$3/$P$4</f>
        <v>1.6333333333333335E-2</v>
      </c>
      <c r="D16" s="148">
        <f>C16*E16</f>
        <v>1.6333333333333335E-2</v>
      </c>
      <c r="E16" s="138">
        <v>1</v>
      </c>
      <c r="F16" s="147">
        <v>10</v>
      </c>
      <c r="G16" s="195">
        <v>19.600000000000001</v>
      </c>
      <c r="H16" s="145">
        <f>F16*G16</f>
        <v>196</v>
      </c>
      <c r="I16" s="157"/>
      <c r="J16" s="143"/>
      <c r="K16" s="142"/>
      <c r="L16" s="199">
        <f t="shared" si="3"/>
        <v>5919.6153846153848</v>
      </c>
    </row>
    <row r="17" spans="1:17" ht="15">
      <c r="A17" s="150" t="s">
        <v>101</v>
      </c>
      <c r="B17" s="154" t="s">
        <v>111</v>
      </c>
      <c r="C17" s="145">
        <f>H17/$P$3/$P$4</f>
        <v>0.1875</v>
      </c>
      <c r="D17" s="148">
        <f>C17*E17</f>
        <v>0.1875</v>
      </c>
      <c r="E17" s="138">
        <v>1</v>
      </c>
      <c r="F17" s="147">
        <v>150</v>
      </c>
      <c r="G17" s="145">
        <v>15</v>
      </c>
      <c r="H17" s="145">
        <f>F17*G17</f>
        <v>2250</v>
      </c>
      <c r="I17" s="157"/>
      <c r="J17" s="143"/>
      <c r="K17" s="142"/>
      <c r="L17" s="199">
        <f t="shared" si="3"/>
        <v>88794.230769230766</v>
      </c>
    </row>
    <row r="18" spans="1:17" ht="45">
      <c r="A18" s="150" t="s">
        <v>101</v>
      </c>
      <c r="B18" s="154" t="s">
        <v>110</v>
      </c>
      <c r="C18" s="145">
        <f>H18/$P$3/$P$4</f>
        <v>0.1875</v>
      </c>
      <c r="D18" s="148">
        <f>C18*E18</f>
        <v>0.1875</v>
      </c>
      <c r="E18" s="138">
        <v>1</v>
      </c>
      <c r="F18" s="147">
        <v>150</v>
      </c>
      <c r="G18" s="145">
        <v>15</v>
      </c>
      <c r="H18" s="145">
        <f>F18*G18</f>
        <v>2250</v>
      </c>
      <c r="I18" s="157"/>
      <c r="J18" s="143"/>
      <c r="K18" s="142"/>
      <c r="L18" s="199">
        <f t="shared" si="3"/>
        <v>88794.230769230766</v>
      </c>
    </row>
    <row r="19" spans="1:17" ht="15">
      <c r="A19" s="163" t="s">
        <v>109</v>
      </c>
      <c r="B19" s="162"/>
      <c r="C19" s="161">
        <f>SUM(C15:C18)</f>
        <v>0.40625</v>
      </c>
      <c r="D19" s="161">
        <f>SUM(D15:D18)</f>
        <v>0.40625</v>
      </c>
      <c r="E19" s="160"/>
      <c r="F19" s="159"/>
      <c r="G19" s="158"/>
      <c r="H19" s="158"/>
      <c r="I19" s="157"/>
      <c r="J19" s="156">
        <f>J14+C19</f>
        <v>1.6513249999999999</v>
      </c>
      <c r="K19" s="155">
        <f>K14+D19</f>
        <v>1.6513249999999999</v>
      </c>
      <c r="L19" s="199">
        <f t="shared" si="3"/>
        <v>0</v>
      </c>
    </row>
    <row r="20" spans="1:17" ht="15">
      <c r="A20" s="150" t="s">
        <v>101</v>
      </c>
      <c r="B20" s="154" t="s">
        <v>108</v>
      </c>
      <c r="C20" s="145">
        <f t="shared" ref="C20:C27" si="4">H20/$P$3/$P$4</f>
        <v>4.1666666666666664E-2</v>
      </c>
      <c r="D20" s="148">
        <f t="shared" ref="D20:D27" si="5">C20*E20</f>
        <v>4.1666666666666664E-2</v>
      </c>
      <c r="E20" s="138">
        <v>1</v>
      </c>
      <c r="F20" s="147">
        <v>50</v>
      </c>
      <c r="G20" s="146">
        <v>10</v>
      </c>
      <c r="H20" s="145">
        <f t="shared" ref="H20:H27" si="6">F20*G20</f>
        <v>500</v>
      </c>
      <c r="I20" s="153"/>
      <c r="J20" s="143"/>
      <c r="K20" s="142"/>
      <c r="L20" s="199">
        <f t="shared" si="3"/>
        <v>29598.076923076926</v>
      </c>
    </row>
    <row r="21" spans="1:17" ht="30">
      <c r="A21" s="150" t="s">
        <v>101</v>
      </c>
      <c r="B21" s="154" t="s">
        <v>107</v>
      </c>
      <c r="C21" s="145">
        <f t="shared" si="4"/>
        <v>8.3333333333333329E-2</v>
      </c>
      <c r="D21" s="148">
        <f t="shared" si="5"/>
        <v>8.3333333333333329E-2</v>
      </c>
      <c r="E21" s="138">
        <v>1</v>
      </c>
      <c r="F21" s="147">
        <v>100</v>
      </c>
      <c r="G21" s="146">
        <v>10</v>
      </c>
      <c r="H21" s="145">
        <f t="shared" si="6"/>
        <v>1000</v>
      </c>
      <c r="I21" s="153"/>
      <c r="J21" s="143"/>
      <c r="K21" s="152"/>
      <c r="L21" s="199">
        <f t="shared" si="3"/>
        <v>59196.153846153851</v>
      </c>
    </row>
    <row r="22" spans="1:17" ht="15">
      <c r="A22" s="150" t="s">
        <v>101</v>
      </c>
      <c r="B22" s="149" t="s">
        <v>106</v>
      </c>
      <c r="C22" s="145">
        <f t="shared" si="4"/>
        <v>4.1666666666666664E-2</v>
      </c>
      <c r="D22" s="148">
        <f t="shared" si="5"/>
        <v>4.1666666666666664E-2</v>
      </c>
      <c r="E22" s="138">
        <v>1</v>
      </c>
      <c r="F22" s="147">
        <v>50</v>
      </c>
      <c r="G22" s="146">
        <v>10</v>
      </c>
      <c r="H22" s="145">
        <f t="shared" si="6"/>
        <v>500</v>
      </c>
      <c r="I22" s="144"/>
      <c r="J22" s="143"/>
      <c r="K22" s="142"/>
      <c r="L22" s="199">
        <f t="shared" si="3"/>
        <v>29598.076923076926</v>
      </c>
    </row>
    <row r="23" spans="1:17" ht="15">
      <c r="A23" s="150" t="s">
        <v>101</v>
      </c>
      <c r="B23" s="149" t="s">
        <v>105</v>
      </c>
      <c r="C23" s="145">
        <f t="shared" si="4"/>
        <v>3.7499999999999999E-2</v>
      </c>
      <c r="D23" s="148">
        <f t="shared" si="5"/>
        <v>3.7499999999999999E-2</v>
      </c>
      <c r="E23" s="138">
        <v>1</v>
      </c>
      <c r="F23" s="147">
        <v>45</v>
      </c>
      <c r="G23" s="146">
        <v>10</v>
      </c>
      <c r="H23" s="145">
        <f t="shared" si="6"/>
        <v>450</v>
      </c>
      <c r="I23" s="144"/>
      <c r="J23" s="143"/>
      <c r="K23" s="142"/>
      <c r="L23" s="199">
        <f t="shared" si="3"/>
        <v>26638.26923076923</v>
      </c>
    </row>
    <row r="24" spans="1:17" ht="15">
      <c r="A24" s="150" t="s">
        <v>101</v>
      </c>
      <c r="B24" s="149" t="s">
        <v>104</v>
      </c>
      <c r="C24" s="145">
        <f t="shared" si="4"/>
        <v>2.4999999999999998E-2</v>
      </c>
      <c r="D24" s="148">
        <f t="shared" si="5"/>
        <v>2.4999999999999998E-2</v>
      </c>
      <c r="E24" s="138">
        <v>1</v>
      </c>
      <c r="F24" s="147">
        <v>30</v>
      </c>
      <c r="G24" s="146">
        <v>10</v>
      </c>
      <c r="H24" s="145">
        <f t="shared" si="6"/>
        <v>300</v>
      </c>
      <c r="I24" s="144"/>
      <c r="J24" s="143"/>
      <c r="K24" s="142"/>
      <c r="L24" s="199">
        <f t="shared" si="3"/>
        <v>17758.846153846156</v>
      </c>
    </row>
    <row r="25" spans="1:17" ht="15">
      <c r="A25" s="150" t="s">
        <v>101</v>
      </c>
      <c r="B25" s="151" t="s">
        <v>103</v>
      </c>
      <c r="C25" s="145">
        <f t="shared" si="4"/>
        <v>4.1666666666666664E-2</v>
      </c>
      <c r="D25" s="148">
        <f t="shared" si="5"/>
        <v>4.1666666666666664E-2</v>
      </c>
      <c r="E25" s="138">
        <v>1</v>
      </c>
      <c r="F25" s="147">
        <v>50</v>
      </c>
      <c r="G25" s="146">
        <v>10</v>
      </c>
      <c r="H25" s="145">
        <f t="shared" si="6"/>
        <v>500</v>
      </c>
      <c r="I25" s="144"/>
      <c r="J25" s="143"/>
      <c r="K25" s="142"/>
      <c r="L25" s="199">
        <f t="shared" si="3"/>
        <v>29598.076923076926</v>
      </c>
    </row>
    <row r="26" spans="1:17" ht="15">
      <c r="A26" s="150" t="s">
        <v>101</v>
      </c>
      <c r="B26" s="149" t="s">
        <v>102</v>
      </c>
      <c r="C26" s="145">
        <f t="shared" si="4"/>
        <v>2.4999999999999998E-2</v>
      </c>
      <c r="D26" s="148">
        <f t="shared" si="5"/>
        <v>2.4999999999999998E-2</v>
      </c>
      <c r="E26" s="138">
        <v>1</v>
      </c>
      <c r="F26" s="147">
        <v>30</v>
      </c>
      <c r="G26" s="146">
        <v>10</v>
      </c>
      <c r="H26" s="145">
        <f t="shared" si="6"/>
        <v>300</v>
      </c>
      <c r="I26" s="144"/>
      <c r="J26" s="143"/>
      <c r="K26" s="142"/>
      <c r="L26" s="199">
        <f t="shared" si="3"/>
        <v>17758.846153846156</v>
      </c>
    </row>
    <row r="27" spans="1:17" ht="15">
      <c r="A27" s="150" t="s">
        <v>101</v>
      </c>
      <c r="B27" s="149" t="s">
        <v>100</v>
      </c>
      <c r="C27" s="145">
        <f t="shared" si="4"/>
        <v>2.4999999999999998E-2</v>
      </c>
      <c r="D27" s="148">
        <f t="shared" si="5"/>
        <v>2.4999999999999998E-2</v>
      </c>
      <c r="E27" s="138">
        <v>1</v>
      </c>
      <c r="F27" s="147">
        <v>30</v>
      </c>
      <c r="G27" s="146">
        <v>10</v>
      </c>
      <c r="H27" s="145">
        <f t="shared" si="6"/>
        <v>300</v>
      </c>
      <c r="I27" s="144"/>
      <c r="J27" s="143"/>
      <c r="K27" s="142"/>
      <c r="L27" s="199">
        <f t="shared" si="3"/>
        <v>17758.846153846156</v>
      </c>
    </row>
    <row r="28" spans="1:17" ht="15">
      <c r="A28" s="141" t="s">
        <v>99</v>
      </c>
      <c r="B28" s="140"/>
      <c r="C28" s="139">
        <f>SUM(C20:C27)</f>
        <v>0.32083333333333336</v>
      </c>
      <c r="D28" s="139">
        <f>SUM(D20:D27)</f>
        <v>0.32083333333333336</v>
      </c>
      <c r="E28" s="138"/>
      <c r="F28" s="137">
        <f>SUM(F20:F27)</f>
        <v>385</v>
      </c>
      <c r="G28" s="136"/>
      <c r="H28" s="136">
        <f>SUM(H20:H27)</f>
        <v>3850</v>
      </c>
      <c r="I28" s="135"/>
      <c r="J28" s="134">
        <f>J19+C28</f>
        <v>1.9721583333333332</v>
      </c>
      <c r="K28" s="133">
        <f>K19+D28</f>
        <v>1.9721583333333332</v>
      </c>
      <c r="L28" s="132"/>
    </row>
    <row r="29" spans="1:17" ht="14.25">
      <c r="A29" s="110"/>
      <c r="B29" s="110"/>
      <c r="C29" s="111"/>
      <c r="D29" s="111"/>
      <c r="E29" s="111"/>
      <c r="F29" s="110"/>
      <c r="G29" s="110"/>
      <c r="H29" s="131"/>
      <c r="I29" s="110"/>
      <c r="J29" s="110"/>
      <c r="K29" s="109"/>
      <c r="Q29" s="196"/>
    </row>
    <row r="30" spans="1:17" s="106" customFormat="1" ht="14.25">
      <c r="A30" s="110"/>
      <c r="B30" s="110"/>
      <c r="C30" s="111"/>
      <c r="D30" s="130"/>
      <c r="E30" s="111"/>
      <c r="F30" s="110"/>
      <c r="G30" s="110"/>
      <c r="H30" s="110"/>
      <c r="I30" s="110"/>
      <c r="J30" s="110"/>
      <c r="K30" s="109"/>
      <c r="L30" s="129"/>
      <c r="M30" s="104"/>
      <c r="N30" s="104"/>
      <c r="O30" s="104"/>
      <c r="P30" s="104"/>
      <c r="Q30" s="104"/>
    </row>
    <row r="31" spans="1:17" ht="14.25">
      <c r="A31" s="110"/>
      <c r="B31" s="110"/>
      <c r="C31" s="110"/>
      <c r="D31" s="110"/>
      <c r="E31" s="128"/>
      <c r="F31" s="110"/>
      <c r="G31" s="110"/>
      <c r="H31" s="110"/>
      <c r="I31" s="110"/>
      <c r="J31" s="110"/>
      <c r="K31" s="127"/>
    </row>
    <row r="32" spans="1:17" ht="15">
      <c r="A32" s="110"/>
      <c r="B32" s="110"/>
      <c r="C32" s="110"/>
      <c r="D32" s="110"/>
      <c r="E32" s="194" t="s">
        <v>91</v>
      </c>
      <c r="F32" s="194"/>
      <c r="G32" s="194"/>
      <c r="H32" s="110"/>
      <c r="I32" s="110"/>
      <c r="J32" s="110"/>
      <c r="K32" s="109"/>
    </row>
    <row r="33" spans="1:12" ht="14.25">
      <c r="A33" s="110"/>
      <c r="B33" s="110"/>
      <c r="C33" s="110">
        <v>2012</v>
      </c>
      <c r="D33" s="110" t="s">
        <v>98</v>
      </c>
      <c r="E33" s="110">
        <v>3</v>
      </c>
      <c r="F33" s="110">
        <v>1</v>
      </c>
      <c r="G33" s="110">
        <v>3.2</v>
      </c>
      <c r="H33" s="110"/>
      <c r="I33" s="110">
        <v>0.86</v>
      </c>
      <c r="J33" s="110"/>
      <c r="K33" s="109"/>
    </row>
    <row r="34" spans="1:12" ht="15">
      <c r="A34" s="110"/>
      <c r="B34" s="110"/>
      <c r="C34" s="110"/>
      <c r="D34" s="110"/>
      <c r="E34" s="194" t="s">
        <v>97</v>
      </c>
      <c r="F34" s="194"/>
      <c r="G34" s="194"/>
      <c r="H34" s="110"/>
      <c r="I34" s="110"/>
      <c r="J34" s="110"/>
      <c r="K34" s="109"/>
    </row>
    <row r="35" spans="1:12" ht="14.25">
      <c r="A35" s="110"/>
      <c r="B35" s="110"/>
      <c r="C35" s="126" t="s">
        <v>96</v>
      </c>
      <c r="D35" s="110">
        <v>218</v>
      </c>
      <c r="E35" s="125">
        <v>4.05</v>
      </c>
      <c r="F35" s="110">
        <v>2.5</v>
      </c>
      <c r="G35" s="124">
        <v>3</v>
      </c>
      <c r="H35" s="110"/>
      <c r="I35" s="110"/>
      <c r="J35" s="110"/>
      <c r="K35" s="109"/>
      <c r="L35" s="108"/>
    </row>
    <row r="36" spans="1:12" ht="14.25">
      <c r="A36" s="110"/>
      <c r="B36" s="110"/>
      <c r="C36" s="110"/>
      <c r="D36" s="110"/>
      <c r="E36" s="111"/>
      <c r="F36" s="110"/>
      <c r="G36" s="110"/>
      <c r="H36" s="110"/>
      <c r="I36" s="110"/>
      <c r="J36" s="110"/>
      <c r="K36" s="109"/>
    </row>
    <row r="37" spans="1:12" ht="15">
      <c r="A37" s="110"/>
      <c r="B37" s="123" t="s">
        <v>95</v>
      </c>
      <c r="C37" s="122" t="s">
        <v>94</v>
      </c>
      <c r="D37" s="110"/>
      <c r="E37" s="111"/>
      <c r="F37" s="110"/>
      <c r="G37" s="110"/>
      <c r="H37" s="110"/>
      <c r="I37" s="110"/>
      <c r="J37" s="110"/>
      <c r="K37" s="109"/>
    </row>
    <row r="38" spans="1:12" ht="14.25">
      <c r="A38" s="110"/>
      <c r="B38" s="110"/>
      <c r="C38" s="121" t="s">
        <v>93</v>
      </c>
      <c r="D38" s="121" t="s">
        <v>91</v>
      </c>
      <c r="E38" s="121" t="s">
        <v>92</v>
      </c>
      <c r="F38" s="121" t="s">
        <v>91</v>
      </c>
      <c r="G38" s="110"/>
      <c r="H38" s="110"/>
      <c r="I38" s="110"/>
      <c r="J38" s="110"/>
      <c r="K38" s="109"/>
    </row>
    <row r="39" spans="1:12" ht="15">
      <c r="A39" s="110" t="s">
        <v>90</v>
      </c>
      <c r="B39" s="119">
        <f>2000*6.8%</f>
        <v>136</v>
      </c>
      <c r="C39" s="114">
        <f>B39*3*0.86</f>
        <v>350.88</v>
      </c>
      <c r="D39" s="120">
        <v>3</v>
      </c>
      <c r="E39" s="117">
        <f>B39*0.86*4.05</f>
        <v>473.68799999999993</v>
      </c>
      <c r="F39" s="116">
        <v>4.05</v>
      </c>
      <c r="G39" s="110"/>
      <c r="H39" s="110"/>
      <c r="I39" s="110"/>
      <c r="J39" s="110"/>
      <c r="K39" s="109"/>
    </row>
    <row r="40" spans="1:12" ht="15">
      <c r="A40" s="110" t="s">
        <v>89</v>
      </c>
      <c r="B40" s="119">
        <f>2000-B39-B41</f>
        <v>1492</v>
      </c>
      <c r="C40" s="114">
        <f>0.86*B40</f>
        <v>1283.1199999999999</v>
      </c>
      <c r="D40" s="118">
        <v>1</v>
      </c>
      <c r="E40" s="117">
        <f>C40*2.5</f>
        <v>3207.7999999999997</v>
      </c>
      <c r="F40" s="116">
        <v>2.5</v>
      </c>
      <c r="G40" s="110"/>
      <c r="H40" s="110"/>
      <c r="I40" s="110"/>
      <c r="J40" s="110"/>
      <c r="K40" s="109"/>
    </row>
    <row r="41" spans="1:12" ht="15">
      <c r="A41" s="110" t="s">
        <v>88</v>
      </c>
      <c r="B41" s="119">
        <f>2000*18.6%</f>
        <v>372.00000000000006</v>
      </c>
      <c r="C41" s="114">
        <f>0.86*3.2*B41</f>
        <v>1023.7440000000003</v>
      </c>
      <c r="D41" s="118">
        <v>3.2</v>
      </c>
      <c r="E41" s="117">
        <f>B41*0.86*3</f>
        <v>959.76</v>
      </c>
      <c r="F41" s="116">
        <v>3</v>
      </c>
      <c r="G41" s="110"/>
      <c r="H41" s="110"/>
      <c r="I41" s="110"/>
      <c r="J41" s="110"/>
      <c r="K41" s="109"/>
    </row>
    <row r="42" spans="1:12" ht="15">
      <c r="A42" s="110" t="s">
        <v>99</v>
      </c>
      <c r="B42" s="115">
        <f>SUM(B39:B41)</f>
        <v>2000</v>
      </c>
      <c r="C42" s="114">
        <f>SUM(C39:C41)</f>
        <v>2657.7440000000001</v>
      </c>
      <c r="D42" s="113">
        <f>C42/2000</f>
        <v>1.3288720000000001</v>
      </c>
      <c r="E42" s="113">
        <f>SUM(E39:E41)</f>
        <v>4641.2479999999996</v>
      </c>
      <c r="F42" s="112">
        <f>E42/2000</f>
        <v>2.3206239999999996</v>
      </c>
      <c r="G42" s="110"/>
      <c r="H42" s="110"/>
      <c r="I42" s="110"/>
      <c r="J42" s="110"/>
      <c r="K42" s="109"/>
    </row>
    <row r="43" spans="1:12" ht="14.25">
      <c r="A43" s="110"/>
      <c r="B43" s="110"/>
      <c r="C43" s="111"/>
      <c r="D43" s="111"/>
      <c r="E43" s="111"/>
      <c r="F43" s="110"/>
      <c r="G43" s="110"/>
      <c r="H43" s="110"/>
      <c r="I43" s="110"/>
      <c r="J43" s="110"/>
      <c r="K43" s="109"/>
    </row>
    <row r="44" spans="1:12" ht="14.25">
      <c r="A44" s="110"/>
      <c r="B44" s="110"/>
      <c r="C44" s="111"/>
      <c r="D44" s="111"/>
      <c r="E44" s="111"/>
      <c r="F44" s="110"/>
      <c r="G44" s="110"/>
      <c r="H44" s="110"/>
      <c r="I44" s="110"/>
      <c r="J44" s="110"/>
      <c r="K44" s="109"/>
    </row>
    <row r="46" spans="1:12">
      <c r="B46" s="108"/>
      <c r="C46" s="107"/>
      <c r="D46" s="107"/>
    </row>
    <row r="47" spans="1:12">
      <c r="C47" s="107"/>
      <c r="D47" s="107"/>
    </row>
  </sheetData>
  <mergeCells count="2">
    <mergeCell ref="E32:G32"/>
    <mergeCell ref="E34:G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D5" sqref="D5"/>
    </sheetView>
  </sheetViews>
  <sheetFormatPr defaultColWidth="8.85546875" defaultRowHeight="15"/>
  <cols>
    <col min="1" max="1" width="11.140625" bestFit="1" customWidth="1"/>
    <col min="2" max="2" width="15.140625" bestFit="1" customWidth="1"/>
    <col min="3" max="4" width="11.140625" bestFit="1" customWidth="1"/>
  </cols>
  <sheetData>
    <row r="1" spans="1:4">
      <c r="A1" t="s">
        <v>23</v>
      </c>
      <c r="B1" t="s">
        <v>24</v>
      </c>
      <c r="C1" t="s">
        <v>25</v>
      </c>
      <c r="D1" t="s">
        <v>26</v>
      </c>
    </row>
    <row r="2" spans="1:4">
      <c r="A2" t="s">
        <v>27</v>
      </c>
      <c r="B2" t="s">
        <v>28</v>
      </c>
      <c r="C2">
        <v>3.0407000000000002</v>
      </c>
      <c r="D2">
        <v>0</v>
      </c>
    </row>
    <row r="3" spans="1:4">
      <c r="A3" t="s">
        <v>29</v>
      </c>
      <c r="B3" t="s">
        <v>30</v>
      </c>
      <c r="C3">
        <v>2.6861000000000002</v>
      </c>
      <c r="D3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7 a 7 d c 5 7 - e d 5 9 - 4 0 2 1 - a 7 4 5 - a 7 0 a d d 6 e 5 d 3 a "   x m l n s = " h t t p : / / s c h e m a s . m i c r o s o f t . c o m / D a t a M a s h u p " > A A A A A H k E A A B Q S w M E F A A C A A g A x J t y T v Q T Q Z i m A A A A + A A A A B I A H A B D b 2 5 m a W c v U G F j a 2 F n Z S 5 4 b W w g o h g A K K A U A A A A A A A A A A A A A A A A A A A A A A A A A A A A h Y 8 x D o I w G E a v Q r r T l o p o y E 8 Z X C U x I R r X B i o 0 Q j G 0 W O 7 m 4 J G 8 g i S K u j l + L 2 9 4 3 + N 2 h 3 R s G + 8 q e 6 M 6 n a A A U + R J X X S l 0 l W C B n v y 1 y j l s B P F W V T S m 2 R t 4 t G U C a q t v c S E O O e w W + C u r w i j N C D H b J s X t W w F + s j q v + w r b a z Q h U Q c D q 8 Y z n C 0 w s u Q h p h F A Z A Z Q 6 b 0 V 2 F T M a Z A f i B s h s Y O v e R S + / s c y D y B v F / w J 1 B L A w Q U A A I A C A D E m 3 J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J t y T q o 0 S f h x A Q A A z g I A A B M A H A B G b 3 J t d W x h c y 9 T Z W N 0 a W 9 u M S 5 t I K I Y A C i g F A A A A A A A A A A A A A A A A A A A A A A A A A A A A K V S y 2 o C M R T d C / 7 D J W 5 G G M Z H K 5 S K d K H d F x 9 0 I S 5 G T U d h J i M z 8 V F E a K W 0 C / s B b k t / o I V K p z 7 q L 9 z 8 U a O j H S v Y L h o I S c 7 J P e f c E J f W e N N m U P D X R D o c C o f c h u 7 Q O k R I U a + a F O I E M m B S H g 6 B H D g W t 2 K I n + I B F + j h V H K X t K p d 6 A Z V V p u s z T h l 3 F V I g / O W e x q L d b t d j V U N z b A 7 m k F j T V a n P a 3 V a J 1 Z m d R J k k S j q q + c 0 7 k e l 3 L 7 D v 3 4 o L z i K p t 7 E Y J j f M c 5 T i S / m g s x w g + Q J R 4 u V 1 n X s b W i o z P 3 y n a s r G 2 2 L V a 8 b l F X W X u o / T 7 x w Q R R g U s C O O 3 x g Q p b P H k A P 9 r i r G 1 V q b P D H B + o S O 1 V D K J B F 8 / 4 h i 8 4 + + 5 h A n 7 j E n o V 9 2 I U 9 J K n l t 2 h v q K r / P 4 A a h B p 1 + x J D M W N 1 J 6 i J 2 0 A l / L k 7 W n M Q d x J c C Y e N 5 f n Q Y Q C N e U f y d v d t f + f 0 V W g e q 0 B S n n z 0 B U p R M 5 L e Q K 2 A z / A U i E n / 0 A 4 1 G T / z Z r + A l B L A Q I t A B Q A A g A I A M S b c k 7 0 E 0 G Y p g A A A P g A A A A S A A A A A A A A A A A A A A A A A A A A A A B D b 2 5 m a W c v U G F j a 2 F n Z S 5 4 b W x Q S w E C L Q A U A A I A C A D E m 3 J O D 8 r p q 6 Q A A A D p A A A A E w A A A A A A A A A A A A A A A A D y A A A A W 0 N v b n R l b n R f V H l w Z X N d L n h t b F B L A Q I t A B Q A A g A I A M S b c k 6 q N E n 4 c Q E A A M 4 C A A A T A A A A A A A A A A A A A A A A A O M B A A B G b 3 J t d W x h c y 9 T Z W N 0 a W 9 u M S 5 t U E s F B g A A A A A D A A M A w g A A A K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N A A A A A A A A 1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D w v S X R l b V B h d G g + P C 9 J d G V t T G 9 j Y X R p b 2 4 + P F N 0 Y W J s Z U V u d H J p Z X M + P E V u d H J 5 I F R 5 c G U 9 I k l z U H J p d m F 0 Z S I g V m F s d W U 9 I m w w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1 R h Y m x l X z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z L T E 4 V D E 1 O j M w O j A 4 L j Q y O D A w O D J a I i A v P j x F b n R y e S B U e X B l P S J G a W x s Q 2 9 s d W 1 u V H l w Z X M i I F Z h b H V l P S J z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S Z x d W 9 0 O 1 0 i I C 8 + P E V u d H J 5 I F R 5 c G U 9 I k Z p b G x T d G F 0 d X M i I F Z h b H V l P S J z Q 2 9 t c G x l d G U i I C 8 + P E V u d H J 5 I F R 5 c G U 9 I l F 1 Z X J 5 S U Q i I F Z h b H V l P S J z Y j J h Z D U z N T c t M m U 3 Y y 0 0 M G N k L T g w O D g t O T k y Y m E 2 N z c 1 N 2 V i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A v 0 J j Q t 9 C 8 0 L X Q v d C 1 0 L 3 Q v d G L 0 L k g 0 Y L Q u N C / L n t D b 2 x 1 b W 4 x L D B 9 J n F 1 b 3 Q 7 L C Z x d W 9 0 O 1 N l Y 3 R p b 2 4 x L 1 R h Y m x l I D A v 0 J j Q t 9 C 8 0 L X Q v d C 1 0 L 3 Q v d G L 0 L k g 0 Y L Q u N C / L n t D b 2 x 1 b W 4 y L D F 9 J n F 1 b 3 Q 7 L C Z x d W 9 0 O 1 N l Y 3 R p b 2 4 x L 1 R h Y m x l I D A v 0 J j Q t 9 C 8 0 L X Q v d C 1 0 L 3 Q v d G L 0 L k g 0 Y L Q u N C / L n t D b 2 x 1 b W 4 z L D J 9 J n F 1 b 3 Q 7 L C Z x d W 9 0 O 1 N l Y 3 R p b 2 4 x L 1 R h Y m x l I D A v 0 J j Q t 9 C 8 0 L X Q v d C 1 0 L 3 Q v d G L 0 L k g 0 Y L Q u N C / L n t D b 2 x 1 b W 4 1 L D R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I D A v 0 J j Q t 9 C 8 0 L X Q v d C 1 0 L 3 Q v d G L 0 L k g 0 Y L Q u N C / L n t D b 2 x 1 b W 4 x L D B 9 J n F 1 b 3 Q 7 L C Z x d W 9 0 O 1 N l Y 3 R p b 2 4 x L 1 R h Y m x l I D A v 0 J j Q t 9 C 8 0 L X Q v d C 1 0 L 3 Q v d G L 0 L k g 0 Y L Q u N C / L n t D b 2 x 1 b W 4 y L D F 9 J n F 1 b 3 Q 7 L C Z x d W 9 0 O 1 N l Y 3 R p b 2 4 x L 1 R h Y m x l I D A v 0 J j Q t 9 C 8 0 L X Q v d C 1 0 L 3 Q v d G L 0 L k g 0 Y L Q u N C / L n t D b 2 x 1 b W 4 z L D J 9 J n F 1 b 3 Q 7 L C Z x d W 9 0 O 1 N l Y 3 R p b 2 4 x L 1 R h Y m x l I D A v 0 J j Q t 9 C 8 0 L X Q v d C 1 0 L 3 Q v d G L 0 L k g 0 Y L Q u N C /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F j w P g c 5 V t B q E d Q m C X g Z T o A A A A A A g A A A A A A E G Y A A A A B A A A g A A A A 6 u q 6 f t M 7 9 4 L Q q P h 2 T 4 q l N l F S A Z 1 R P f + n r w h a Y G 0 l S L c A A A A A D o A A A A A C A A A g A A A A r f L / T o D H k u y N D 4 c h V 7 p f u G C 3 C 4 T m m R 2 Y H A W b u d / 9 5 N V Q A A A A Y f 5 R s l U 5 p j w X y q I C q 3 E j 8 8 W I o R G R i Q H j t z M J I v 0 e y h p C J K j B Y 6 1 u 6 s S c z K d N T L P 6 a 5 g z / x 3 k k Q N o 0 / a 2 A u b y C Y q j d + N a 7 2 U 7 K J t l + n E K j 2 1 A A A A A K l c K / u g d P 0 9 a N y 0 9 5 3 S f g S k C r y Z O G S b P i 3 1 L R X 6 6 Z z e B e S q a Q 2 h Y s Q u b 1 Z t f w 3 o h 2 5 p l w + c a S F W M E O V k o E y D K g = = < / D a t a M a s h u p > 
</file>

<file path=customXml/itemProps1.xml><?xml version="1.0" encoding="utf-8"?>
<ds:datastoreItem xmlns:ds="http://schemas.openxmlformats.org/officeDocument/2006/customXml" ds:itemID="{833E99BA-7F08-4D03-AC89-2960BA091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Modelcosting (2)</vt:lpstr>
      <vt:lpstr>უტილიტაცია</vt:lpstr>
      <vt:lpstr>Лист1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ტელემედიცინა საქართველოში</dc:title>
  <dc:subject/>
  <dc:creator/>
  <cp:keywords/>
  <dc:description>ფაილში მოცემულია საპროგნოზო მონაცემები</dc:description>
  <cp:lastModifiedBy/>
  <dcterms:created xsi:type="dcterms:W3CDTF">2006-09-16T00:00:00Z</dcterms:created>
  <dcterms:modified xsi:type="dcterms:W3CDTF">2019-08-22T11:51:48Z</dcterms:modified>
  <cp:category/>
</cp:coreProperties>
</file>